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195" windowHeight="7935" tabRatio="799" activeTab="0"/>
  </bookViews>
  <sheets>
    <sheet name="Welcome" sheetId="1" r:id="rId1"/>
    <sheet name="Introduction" sheetId="2" r:id="rId2"/>
    <sheet name="Calculations" sheetId="3" r:id="rId3"/>
    <sheet name="Summary" sheetId="4" r:id="rId4"/>
    <sheet name="Heating Values" sheetId="5" r:id="rId5"/>
    <sheet name="Densities" sheetId="6" r:id="rId6"/>
    <sheet name="Carbon Contents" sheetId="7" r:id="rId7"/>
    <sheet name="Oxidation Factors" sheetId="8" r:id="rId8"/>
    <sheet name="NonCO2 Emission Factors" sheetId="9" r:id="rId9"/>
    <sheet name="Mobile Factors" sheetId="10" r:id="rId10"/>
    <sheet name="Table 1. GWPs" sheetId="11" r:id="rId11"/>
    <sheet name="Table 2. Default IPCC Values" sheetId="12" r:id="rId12"/>
    <sheet name="US EF" sheetId="13" r:id="rId13"/>
    <sheet name="Conversion Factors" sheetId="14" r:id="rId14"/>
    <sheet name="Acetylene Calcs" sheetId="15" r:id="rId15"/>
    <sheet name="EFs_Fuels" sheetId="16" r:id="rId16"/>
  </sheets>
  <externalReferences>
    <externalReference r:id="rId19"/>
    <externalReference r:id="rId20"/>
    <externalReference r:id="rId21"/>
    <externalReference r:id="rId22"/>
    <externalReference r:id="rId23"/>
    <externalReference r:id="rId24"/>
  </externalReferences>
  <definedNames>
    <definedName name="AircraftHV">'Mobile Factors'!$G$34:$I$35</definedName>
    <definedName name="AltFuels">'Mobile Factors'!$E$38:$E$45</definedName>
    <definedName name="BiomassCC">'Carbon Contents'!$B$52:$H$60</definedName>
    <definedName name="BiomassHV">'Heating Values'!$B$51:$H$59</definedName>
    <definedName name="BiomassOF">'Oxidation Factors'!$B$21:$E$29</definedName>
    <definedName name="CO2perGJ_jet">#REF!</definedName>
    <definedName name="CoalCC">'Carbon Contents'!$B$7:$H$13</definedName>
    <definedName name="CoalHV">'Heating Values'!$B$6:$H$12</definedName>
    <definedName name="CoalOF">'Oxidation Factors'!$B$7:$E$9</definedName>
    <definedName name="CRF_CountryName" localSheetId="12">'[5]Sheet1'!$C$4</definedName>
    <definedName name="CRF_CountryName">'[2]Sheet1'!$C$4</definedName>
    <definedName name="CRF_InventoryYear" localSheetId="12">'[5]Sheet1'!$C$6</definedName>
    <definedName name="CRF_InventoryYear">'[2]Sheet1'!$C$6</definedName>
    <definedName name="CRF_Submission" localSheetId="12">'[5]Sheet1'!$C$30</definedName>
    <definedName name="CRF_Submission">'[2]Sheet1'!$C$30</definedName>
    <definedName name="CRF_Table2_II_.Fs1_Dyn1A17" localSheetId="12">#REF!</definedName>
    <definedName name="CRF_Table2_II_.Fs1_Dyn1A17">#REF!</definedName>
    <definedName name="CRF_Table2_II_.Fs1_Dyn1A19" localSheetId="12">#REF!</definedName>
    <definedName name="CRF_Table2_II_.Fs1_Dyn1A19">#REF!</definedName>
    <definedName name="CRF_Table2_II_.Fs1_Dyn1A21" localSheetId="12">#REF!</definedName>
    <definedName name="CRF_Table2_II_.Fs1_Dyn1A21">#REF!</definedName>
    <definedName name="CRF_Table2_II_.Fs1_Dyn1A23" localSheetId="12">#REF!</definedName>
    <definedName name="CRF_Table2_II_.Fs1_Dyn1A23">#REF!</definedName>
    <definedName name="CRF_Table2_II_.Fs1_Dyn1A25" localSheetId="12">#REF!</definedName>
    <definedName name="CRF_Table2_II_.Fs1_Dyn1A25">#REF!</definedName>
    <definedName name="CRF_Table2_II_.Fs1_Dyn1A27" localSheetId="12">#REF!</definedName>
    <definedName name="CRF_Table2_II_.Fs1_Dyn1A27">#REF!</definedName>
    <definedName name="CRF_Table2_II_.Fs1_Dyn2A30" localSheetId="12">#REF!</definedName>
    <definedName name="CRF_Table2_II_.Fs1_Dyn2A30">#REF!</definedName>
    <definedName name="CRF_Table2_II_.Fs1_Dyn2A32" localSheetId="12">#REF!</definedName>
    <definedName name="CRF_Table2_II_.Fs1_Dyn2A32">#REF!</definedName>
    <definedName name="CRF_Table2_II_.Fs1_Main" localSheetId="12">#REF!</definedName>
    <definedName name="CRF_Table2_II_.Fs1_Main">#REF!</definedName>
    <definedName name="D1_Air">#REF!</definedName>
    <definedName name="D1_Air_total">#REF!</definedName>
    <definedName name="D1_Boat">#REF!</definedName>
    <definedName name="D1_Boat_total">#REF!</definedName>
    <definedName name="D1_Rail">#REF!</definedName>
    <definedName name="D1_Rail_total">#REF!</definedName>
    <definedName name="D1_Road">#REF!</definedName>
    <definedName name="D1_Road_total">#REF!</definedName>
    <definedName name="DirectPart1">#REF!</definedName>
    <definedName name="ElectricityEFs">'US EF'!$A$7:$I$57</definedName>
    <definedName name="get_dieselgperkm">'[4]Reference'!$E$196:$J$259</definedName>
    <definedName name="get_gasgperkm" localSheetId="8">'[4]Reference'!$E$196:$I$259</definedName>
    <definedName name="get_gasgperkm" localSheetId="12">'[4]Reference'!$E$196:$I$259</definedName>
    <definedName name="get_gasgperkm">'[1]Reference'!$E$196:$I$259</definedName>
    <definedName name="Gjperton_jet">#REF!</definedName>
    <definedName name="Go_D2_Air">'[4]Macros'!#REF!</definedName>
    <definedName name="Go_D2_Road">'[4]Macros'!#REF!</definedName>
    <definedName name="Go_In1_air">'[4]Macros'!#REF!</definedName>
    <definedName name="Go_In1_boat">'[4]Macros'!#REF!</definedName>
    <definedName name="Go_In1_Fuel">'[4]Macros'!#REF!</definedName>
    <definedName name="Go_In1_rail">'[4]Macros'!#REF!</definedName>
    <definedName name="Go_Somewhere">'[4]Macros'!#REF!</definedName>
    <definedName name="GWPtable">'Table 1. GWPs'!$C$6:$D$61</definedName>
    <definedName name="In2_Air">#REF!</definedName>
    <definedName name="In2_Air_total">#REF!</definedName>
    <definedName name="In2_Boat">#REF!</definedName>
    <definedName name="In2_Boat_total">#REF!</definedName>
    <definedName name="In2_Rail">#REF!</definedName>
    <definedName name="In2_Rail_total">#REF!</definedName>
    <definedName name="IN2_Road_total">#REF!</definedName>
    <definedName name="kmper_nm">#REF!</definedName>
    <definedName name="Leaks">'Table 1. GWPs'!$C$68:$C$89</definedName>
    <definedName name="line_type">#REF!</definedName>
    <definedName name="NaturalGasCC">'Carbon Contents'!$B$15:$H$23</definedName>
    <definedName name="NaturalGasHV">'Heating Values'!$B$14:$H$22</definedName>
    <definedName name="NaturalGasOF">'Oxidation Factors'!$B$10:$E$10</definedName>
    <definedName name="OtherFuelsCC">'Carbon Contents'!$B$47:$H$50</definedName>
    <definedName name="OtherFuelsHV">'Heating Values'!$B$46:$H$49</definedName>
    <definedName name="OtherFuelsOF">'Oxidation Factors'!$B$16:$E$19</definedName>
    <definedName name="PetroleumCC">'Carbon Contents'!$B$25:$H$45</definedName>
    <definedName name="PetroleumHV">'Heating Values'!$B$24:$H$44</definedName>
    <definedName name="PetroleumOF">'Oxidation Factors'!$B$12:$E$14</definedName>
    <definedName name="_xlnm.Print_Area" localSheetId="2">'Calculations'!$A$3:$K$162</definedName>
    <definedName name="_xlnm.Print_Area" localSheetId="1">'Introduction'!$B$4:$O$90</definedName>
    <definedName name="Refrigerants">'Calculations'!$AR$1:$AR$22</definedName>
    <definedName name="RefrigerationACTable">'Table 2. Default IPCC Values'!$C$10:$H$17</definedName>
    <definedName name="RoadTransportHV">'Mobile Factors'!$G$13:$I$15</definedName>
    <definedName name="US_Abb">'US EF'!$S$6:$T$58</definedName>
    <definedName name="US_CH4_N2O_EF">'US EF'!$M$8:$O$66</definedName>
    <definedName name="US_EF">'US EF'!$B$7:$I$57</definedName>
    <definedName name="WaterTransportationHV">'Mobile Factors'!$G$28:$I$30</definedName>
  </definedNames>
  <calcPr fullCalcOnLoad="1"/>
</workbook>
</file>

<file path=xl/comments10.xml><?xml version="1.0" encoding="utf-8"?>
<comments xmlns="http://schemas.openxmlformats.org/spreadsheetml/2006/main">
  <authors>
    <author>RPM Systems, Inc.</author>
  </authors>
  <commentList>
    <comment ref="J81" authorId="0">
      <text>
        <r>
          <rPr>
            <b/>
            <sz val="8"/>
            <rFont val="Tahoma"/>
            <family val="0"/>
          </rPr>
          <t xml:space="preserve">Retec: from IPCC quoted by UNEP p 44.
</t>
        </r>
        <r>
          <rPr>
            <sz val="8"/>
            <rFont val="Tahoma"/>
            <family val="0"/>
          </rPr>
          <t xml:space="preserve">
</t>
        </r>
      </text>
    </comment>
    <comment ref="L81" authorId="0">
      <text>
        <r>
          <rPr>
            <b/>
            <sz val="8"/>
            <rFont val="Tahoma"/>
            <family val="0"/>
          </rPr>
          <t>Rttec:  1.025*9.765, adjustment for lower heat X per gallon figure given in UNEP</t>
        </r>
        <r>
          <rPr>
            <sz val="8"/>
            <rFont val="Tahoma"/>
            <family val="0"/>
          </rPr>
          <t xml:space="preserve">
</t>
        </r>
      </text>
    </comment>
    <comment ref="G82" authorId="0">
      <text>
        <r>
          <rPr>
            <b/>
            <sz val="8"/>
            <rFont val="Tahoma"/>
            <family val="0"/>
          </rPr>
          <t>Retec:  inferred from gasoline</t>
        </r>
        <r>
          <rPr>
            <sz val="8"/>
            <rFont val="Tahoma"/>
            <family val="0"/>
          </rPr>
          <t xml:space="preserve">
</t>
        </r>
      </text>
    </comment>
    <comment ref="M83" authorId="0">
      <text>
        <r>
          <rPr>
            <b/>
            <sz val="8"/>
            <rFont val="Tahoma"/>
            <family val="0"/>
          </rPr>
          <t>Retec:  inferred from IEA density relative to gasoline</t>
        </r>
      </text>
    </comment>
    <comment ref="M87" authorId="0">
      <text>
        <r>
          <rPr>
            <b/>
            <sz val="8"/>
            <rFont val="Tahoma"/>
            <family val="0"/>
          </rPr>
          <t>Retec:  inferred from IEA density relative to gasoline</t>
        </r>
        <r>
          <rPr>
            <sz val="8"/>
            <rFont val="Tahoma"/>
            <family val="0"/>
          </rPr>
          <t xml:space="preserve">
</t>
        </r>
      </text>
    </comment>
  </commentList>
</comments>
</file>

<file path=xl/comments12.xml><?xml version="1.0" encoding="utf-8"?>
<comments xmlns="http://schemas.openxmlformats.org/spreadsheetml/2006/main">
  <authors>
    <author>Lauren Pederson</author>
  </authors>
  <commentList>
    <comment ref="H9" authorId="0">
      <text>
        <r>
          <rPr>
            <sz val="8"/>
            <rFont val="Tahoma"/>
            <family val="0"/>
          </rPr>
          <t>Average based on IPCC default value ranges.</t>
        </r>
      </text>
    </comment>
    <comment ref="F9" authorId="0">
      <text>
        <r>
          <rPr>
            <sz val="8"/>
            <rFont val="Tahoma"/>
            <family val="0"/>
          </rPr>
          <t>Average based on IPCC default value ranges.</t>
        </r>
      </text>
    </comment>
    <comment ref="G9" authorId="0">
      <text>
        <r>
          <rPr>
            <sz val="8"/>
            <rFont val="Tahoma"/>
            <family val="0"/>
          </rPr>
          <t>Average based on IPCC default value ranges.</t>
        </r>
      </text>
    </comment>
    <comment ref="E8" authorId="0">
      <text>
        <r>
          <rPr>
            <sz val="8"/>
            <rFont val="Tahoma"/>
            <family val="0"/>
          </rPr>
          <t>Average based on IPCC default value ranges.</t>
        </r>
      </text>
    </comment>
    <comment ref="D9" authorId="0">
      <text>
        <r>
          <rPr>
            <sz val="8"/>
            <rFont val="Tahoma"/>
            <family val="0"/>
          </rPr>
          <t>Average based on IPCC default value ranges.</t>
        </r>
      </text>
    </comment>
    <comment ref="D17" authorId="0">
      <text>
        <r>
          <rPr>
            <sz val="8"/>
            <rFont val="Tahoma"/>
            <family val="0"/>
          </rPr>
          <t>Taken from the 2006 IPCC Guidelines.</t>
        </r>
      </text>
    </comment>
  </commentList>
</comments>
</file>

<file path=xl/comments13.xml><?xml version="1.0" encoding="utf-8"?>
<comments xmlns="http://schemas.openxmlformats.org/spreadsheetml/2006/main">
  <authors>
    <author>13280</author>
  </authors>
  <commentList>
    <comment ref="B14" authorId="0">
      <text>
        <r>
          <rPr>
            <sz val="8"/>
            <rFont val="Tahoma"/>
            <family val="0"/>
          </rPr>
          <t>For CH4 and N2O, the EF for Virginia is used as a proxy.</t>
        </r>
      </text>
    </comment>
  </commentList>
</comments>
</file>

<file path=xl/sharedStrings.xml><?xml version="1.0" encoding="utf-8"?>
<sst xmlns="http://schemas.openxmlformats.org/spreadsheetml/2006/main" count="2459" uniqueCount="1067">
  <si>
    <t>Use the gray square buttons (with "+" or "-") to collapse or expand the calculators for each source.</t>
  </si>
  <si>
    <t>Before proceeding, please populate the yellow cells below with information specific to your shipyard.  After entering this information, please proceed to the next sheet, the "Introduction Sheet," by clicking the grey navigational button at the top of this sheet.  Navigational buttons will guide you through the tool.</t>
  </si>
  <si>
    <t>The remainder of this sheet describes the structure of the tool, methodologies used to estimate emissions, and the data needed to complete an emission inventory.  After reviewing this sheet, please click the "Calculations Sheet" navigational button to proceed to the Calculations Sheet.</t>
  </si>
  <si>
    <t>For ease of use, common features of Excel have been removed from this tool; however, if desired, the user may return to the normal Excel Environment by selecting "Restore Excel Environment" from the "Tool Options" item in the menu bar above.</t>
  </si>
  <si>
    <r>
      <t>Instructions:</t>
    </r>
    <r>
      <rPr>
        <sz val="10"/>
        <rFont val="Verdana"/>
        <family val="2"/>
      </rPr>
      <t xml:space="preserve"> Select a state, and enter the amount of purchased electricity consumed (kWh) for the year you are performing the inventory.
After selecting a state, a state-default emission factor is provided.  If a more specific emission factor is available for the electric utility from which your shipyard purchases its electricity, please enter that value in the yellow input cell titled "Alternate Emission Factor."</t>
    </r>
  </si>
  <si>
    <t>B5</t>
  </si>
  <si>
    <t>B20</t>
  </si>
  <si>
    <t>B80</t>
  </si>
  <si>
    <t>B100</t>
  </si>
  <si>
    <t>(kg CO2/lb CO2)</t>
  </si>
  <si>
    <t>Source: Estimated using EPA's Mobile6 (November 2007)</t>
  </si>
  <si>
    <r>
      <t>Note:</t>
    </r>
    <r>
      <rPr>
        <sz val="10"/>
        <rFont val="Arial"/>
        <family val="0"/>
      </rPr>
      <t xml:space="preserve">  GWPs of blends are based only on the GWPs of their HFC and PFC components as listed in ASHRAE Standard 34.  For the purposes of this table and the Protocol, the GWP of all components other than HFCs and PFCs are considered to be zero.</t>
    </r>
  </si>
  <si>
    <r>
      <t>CO</t>
    </r>
    <r>
      <rPr>
        <vertAlign val="subscript"/>
        <sz val="10"/>
        <rFont val="Arial"/>
        <family val="2"/>
      </rPr>
      <t>2*</t>
    </r>
  </si>
  <si>
    <t>Chemical Type</t>
  </si>
  <si>
    <t>GWP of Chemical</t>
  </si>
  <si>
    <t>Gal</t>
  </si>
  <si>
    <t>Shipbuilding Greenhouse Gas (GHG) Emission Inventory Tool Version 2.1</t>
  </si>
  <si>
    <t>CF</t>
  </si>
  <si>
    <r>
      <t>Instructions:</t>
    </r>
    <r>
      <rPr>
        <sz val="10"/>
        <rFont val="Verdana"/>
        <family val="2"/>
      </rPr>
      <t xml:space="preserve"> Enter the amount and type of fuel consumed in equipment used in the production of electricity, heat or steam, and the technology type if applicable.  Fuel combusted in mobile generators, air compressors, and fire pumps should be accounted for here.</t>
    </r>
  </si>
  <si>
    <r>
      <t>Source:</t>
    </r>
    <r>
      <rPr>
        <sz val="10"/>
        <rFont val="Arial"/>
        <family val="0"/>
      </rPr>
      <t xml:space="preserve"> World Business Council for Sustainable Development/World Resources Institute. The Greenhouse Gas Protocol - Calculation Tools (StationaryCombustion Version 3[1].1.xls</t>
    </r>
  </si>
  <si>
    <r>
      <t>Source:</t>
    </r>
    <r>
      <rPr>
        <sz val="10"/>
        <rFont val="Arial"/>
        <family val="0"/>
      </rPr>
      <t xml:space="preserve"> World Business Council for Sustainable Development/World Resources Institute. The Greenhouse Gas Protocol - Calculation Tools (co2-mobile.xls)</t>
    </r>
  </si>
  <si>
    <r>
      <t>Source:</t>
    </r>
    <r>
      <rPr>
        <sz val="10"/>
        <rFont val="Arial"/>
        <family val="0"/>
      </rPr>
      <t xml:space="preserve"> World Business Council for Sustainable Development/World Resources Institute. The Greenhouse Gas Protocol - Calculation Tools (co2-mobile.xls), Table 9.  Cites IPCC 1999, Volume 2, Section 1 and API, 2001 (heating values), unless otherwise noted.</t>
    </r>
  </si>
  <si>
    <r>
      <t>Source:</t>
    </r>
    <r>
      <rPr>
        <sz val="10"/>
        <rFont val="Arial"/>
        <family val="0"/>
      </rPr>
      <t xml:space="preserve"> World Business Council for Sustainable Development/World Resources Institute. The Greenhouse Gas Protocol - Calculation Tools (co2-mobile.xls), Table 11. </t>
    </r>
  </si>
  <si>
    <t>Amount Recovered (kg)</t>
  </si>
  <si>
    <t>Amount Replaced (kg)</t>
  </si>
  <si>
    <t>Recovery Efficiency (%)</t>
  </si>
  <si>
    <t>Percent Lost (%)</t>
  </si>
  <si>
    <t>HFC-245fa</t>
  </si>
  <si>
    <t>R-290</t>
  </si>
  <si>
    <t>R-600a</t>
  </si>
  <si>
    <t>R-422A</t>
  </si>
  <si>
    <t>R-422D</t>
  </si>
  <si>
    <t>R-1270</t>
  </si>
  <si>
    <r>
      <t>On-site Refrigeration Equipment:</t>
    </r>
    <r>
      <rPr>
        <sz val="10"/>
        <rFont val="Verdana"/>
        <family val="2"/>
      </rPr>
      <t xml:space="preserve"> Enter the refrigeration/AC application, the number of units and the type of refrigerant used in each application.</t>
    </r>
  </si>
  <si>
    <r>
      <t>Emissions (MTCO</t>
    </r>
    <r>
      <rPr>
        <vertAlign val="subscript"/>
        <sz val="10"/>
        <rFont val="Verdana"/>
        <family val="2"/>
      </rPr>
      <t>2</t>
    </r>
    <r>
      <rPr>
        <sz val="10"/>
        <rFont val="Verdana"/>
        <family val="2"/>
      </rPr>
      <t>Eq.)</t>
    </r>
  </si>
  <si>
    <t>Refrigerant and Other Product Use (Scope 3)</t>
  </si>
  <si>
    <r>
      <t>Instructions:</t>
    </r>
    <r>
      <rPr>
        <sz val="10"/>
        <rFont val="Verdana"/>
        <family val="2"/>
      </rPr>
      <t xml:space="preserve"> Please enter information for the amount and type of refrigerant or chemical used for refrigeration, AC, welding, and fire suppression purposes on-site, and during ship system installation and decommissioning.</t>
    </r>
  </si>
  <si>
    <r>
      <t xml:space="preserve">Refrigerator and Other System Decommissioning: </t>
    </r>
    <r>
      <rPr>
        <sz val="10"/>
        <rFont val="Verdana"/>
        <family val="2"/>
      </rPr>
      <t>During system decommissioning, refrigerants and other chemicals should be recovered; however, a percent of the chemical may be lost depending on the recovery efficiency, which varies depending on ambient air conditions, chemical type, etc.  To estimate the amount lost during decommissioning, please enter the amount of chemical recovered and the recovery efficiency percentage.  If the recovery efficiency is not known, a default value of 80 percent may be used.</t>
    </r>
  </si>
  <si>
    <r>
      <t xml:space="preserve">Refrigerator and Other System Installation Leaks: </t>
    </r>
    <r>
      <rPr>
        <sz val="10"/>
        <rFont val="Verdana"/>
        <family val="2"/>
      </rPr>
      <t>After system (e.g., refrigeration equipement, fire suppression equipment) installation, system equipment are often monitored for leaks while the vessel is under construction or during servicing.  If a leak occurs, the charge replaced should be recorded to estimate the loss during the leak.  Please select a chemical type and enter the total annual amount replaced to replace the chemicals lost during leaks.</t>
    </r>
  </si>
  <si>
    <r>
      <t>Instructions:</t>
    </r>
    <r>
      <rPr>
        <sz val="10"/>
        <rFont val="Verdana"/>
        <family val="2"/>
      </rPr>
      <t xml:space="preserve"> In the yellow cells below, please enter the results of your calculations for other activities emitting greenhouse gases, by gas.</t>
    </r>
  </si>
  <si>
    <t>Refrigerant/Product Use</t>
  </si>
  <si>
    <t>kg CO2/kg C2H2</t>
  </si>
  <si>
    <t>Acetylene Consumed (lbs)</t>
  </si>
  <si>
    <r>
      <t>Emission Factor 
(lb CO</t>
    </r>
    <r>
      <rPr>
        <vertAlign val="subscript"/>
        <sz val="10"/>
        <rFont val="Verdana"/>
        <family val="2"/>
      </rPr>
      <t>2</t>
    </r>
    <r>
      <rPr>
        <sz val="10"/>
        <rFont val="Verdana"/>
        <family val="2"/>
      </rPr>
      <t>/lb Acetylene)</t>
    </r>
  </si>
  <si>
    <t>kg/lb</t>
  </si>
  <si>
    <t>% Remaining in Cylinder When Empty</t>
  </si>
  <si>
    <r>
      <t xml:space="preserve">On-site Acetylene Use: </t>
    </r>
    <r>
      <rPr>
        <sz val="10"/>
        <rFont val="Verdana"/>
        <family val="2"/>
      </rPr>
      <t>Please estimate emissions associated with on-site acetylene use by entering the amount of acetylene consumed in lbs (acetylene weight, not cylinder weight), and the amount of acetylene remaining in the cylinder at time of refuel or disposal.  In the absence of data on the amount of acetylene remaining, a default factor of 5% may be used.</t>
    </r>
  </si>
  <si>
    <r>
      <t>CO</t>
    </r>
    <r>
      <rPr>
        <vertAlign val="subscript"/>
        <sz val="10"/>
        <rFont val="Verdana"/>
        <family val="2"/>
      </rPr>
      <t>2</t>
    </r>
    <r>
      <rPr>
        <sz val="10"/>
        <rFont val="Verdana"/>
        <family val="2"/>
      </rPr>
      <t xml:space="preserve"> Consumed (lbs)</t>
    </r>
  </si>
  <si>
    <r>
      <t>On-site CO</t>
    </r>
    <r>
      <rPr>
        <b/>
        <vertAlign val="subscript"/>
        <sz val="10"/>
        <rFont val="Verdana"/>
        <family val="2"/>
      </rPr>
      <t>2</t>
    </r>
    <r>
      <rPr>
        <b/>
        <sz val="10"/>
        <rFont val="Verdana"/>
        <family val="2"/>
      </rPr>
      <t xml:space="preserve"> Use:</t>
    </r>
    <r>
      <rPr>
        <sz val="10"/>
        <rFont val="Verdana"/>
        <family val="2"/>
      </rPr>
      <t xml:space="preserve"> Please estimate emissions associated with on-site CO</t>
    </r>
    <r>
      <rPr>
        <vertAlign val="subscript"/>
        <sz val="10"/>
        <rFont val="Verdana"/>
        <family val="2"/>
      </rPr>
      <t>2</t>
    </r>
    <r>
      <rPr>
        <sz val="10"/>
        <rFont val="Verdana"/>
        <family val="2"/>
      </rPr>
      <t xml:space="preserve"> use by entering the amount of CO</t>
    </r>
    <r>
      <rPr>
        <vertAlign val="subscript"/>
        <sz val="10"/>
        <rFont val="Verdana"/>
        <family val="2"/>
      </rPr>
      <t>2</t>
    </r>
    <r>
      <rPr>
        <sz val="10"/>
        <rFont val="Verdana"/>
        <family val="2"/>
      </rPr>
      <t xml:space="preserve"> consumed in lbs (CO</t>
    </r>
    <r>
      <rPr>
        <vertAlign val="subscript"/>
        <sz val="10"/>
        <rFont val="Verdana"/>
        <family val="2"/>
      </rPr>
      <t>2</t>
    </r>
    <r>
      <rPr>
        <sz val="10"/>
        <rFont val="Verdana"/>
        <family val="2"/>
      </rPr>
      <t xml:space="preserve"> weight, not cylinder weight), and the amount of CO</t>
    </r>
    <r>
      <rPr>
        <vertAlign val="subscript"/>
        <sz val="10"/>
        <rFont val="Verdana"/>
        <family val="2"/>
      </rPr>
      <t>2</t>
    </r>
    <r>
      <rPr>
        <sz val="10"/>
        <rFont val="Verdana"/>
        <family val="2"/>
      </rPr>
      <t xml:space="preserve"> remaining in the cylinder at time of refuel or disposal.  In the absence of data on the amount of CO</t>
    </r>
    <r>
      <rPr>
        <vertAlign val="subscript"/>
        <sz val="10"/>
        <rFont val="Verdana"/>
        <family val="2"/>
      </rPr>
      <t>2</t>
    </r>
    <r>
      <rPr>
        <sz val="10"/>
        <rFont val="Verdana"/>
        <family val="2"/>
      </rPr>
      <t xml:space="preserve"> remaining, a default factor of 5% may be used.</t>
    </r>
  </si>
  <si>
    <r>
      <t>Scope 1 Emissions (MTCO</t>
    </r>
    <r>
      <rPr>
        <b/>
        <vertAlign val="subscript"/>
        <sz val="10"/>
        <color indexed="9"/>
        <rFont val="Verdana"/>
        <family val="2"/>
      </rPr>
      <t>2</t>
    </r>
    <r>
      <rPr>
        <b/>
        <sz val="10"/>
        <color indexed="9"/>
        <rFont val="Verdana"/>
        <family val="2"/>
      </rPr>
      <t xml:space="preserve"> Eq.)</t>
    </r>
  </si>
  <si>
    <r>
      <t>Scope 2 Emissions (MTCO</t>
    </r>
    <r>
      <rPr>
        <b/>
        <vertAlign val="subscript"/>
        <sz val="10"/>
        <color indexed="9"/>
        <rFont val="Verdana"/>
        <family val="2"/>
      </rPr>
      <t>2</t>
    </r>
    <r>
      <rPr>
        <b/>
        <sz val="10"/>
        <color indexed="9"/>
        <rFont val="Verdana"/>
        <family val="2"/>
      </rPr>
      <t xml:space="preserve"> Eq.)</t>
    </r>
  </si>
  <si>
    <r>
      <t>Scope 3 Emissions (MTCO</t>
    </r>
    <r>
      <rPr>
        <b/>
        <vertAlign val="subscript"/>
        <sz val="10"/>
        <color indexed="9"/>
        <rFont val="Verdana"/>
        <family val="2"/>
      </rPr>
      <t>2</t>
    </r>
    <r>
      <rPr>
        <b/>
        <sz val="10"/>
        <color indexed="9"/>
        <rFont val="Verdana"/>
        <family val="2"/>
      </rPr>
      <t xml:space="preserve"> Eq.)</t>
    </r>
  </si>
  <si>
    <r>
      <t>Other Emissions (MTCO</t>
    </r>
    <r>
      <rPr>
        <b/>
        <vertAlign val="subscript"/>
        <sz val="10"/>
        <color indexed="9"/>
        <rFont val="Verdana"/>
        <family val="2"/>
      </rPr>
      <t>2</t>
    </r>
    <r>
      <rPr>
        <b/>
        <sz val="10"/>
        <color indexed="9"/>
        <rFont val="Verdana"/>
        <family val="2"/>
      </rPr>
      <t xml:space="preserve"> Eq.)</t>
    </r>
  </si>
  <si>
    <r>
      <t>Total Emissions (MTCO</t>
    </r>
    <r>
      <rPr>
        <b/>
        <vertAlign val="subscript"/>
        <sz val="11"/>
        <color indexed="9"/>
        <rFont val="Verdana"/>
        <family val="2"/>
      </rPr>
      <t>2</t>
    </r>
    <r>
      <rPr>
        <b/>
        <sz val="11"/>
        <color indexed="9"/>
        <rFont val="Verdana"/>
        <family val="2"/>
      </rPr>
      <t xml:space="preserve"> Eq.)</t>
    </r>
  </si>
  <si>
    <r>
      <t>CO</t>
    </r>
    <r>
      <rPr>
        <b/>
        <vertAlign val="subscript"/>
        <sz val="11"/>
        <rFont val="Verdana"/>
        <family val="2"/>
      </rPr>
      <t>2</t>
    </r>
  </si>
  <si>
    <r>
      <t>CH</t>
    </r>
    <r>
      <rPr>
        <b/>
        <vertAlign val="subscript"/>
        <sz val="11"/>
        <rFont val="Verdana"/>
        <family val="2"/>
      </rPr>
      <t>4</t>
    </r>
  </si>
  <si>
    <r>
      <t>N</t>
    </r>
    <r>
      <rPr>
        <b/>
        <vertAlign val="subscript"/>
        <sz val="11"/>
        <rFont val="Verdana"/>
        <family val="2"/>
      </rPr>
      <t>2</t>
    </r>
    <r>
      <rPr>
        <b/>
        <sz val="11"/>
        <rFont val="Verdana"/>
        <family val="2"/>
      </rPr>
      <t>O</t>
    </r>
  </si>
  <si>
    <t>R-507A</t>
  </si>
  <si>
    <t>R-507</t>
  </si>
  <si>
    <t>Please note:  The Shipbuilding GHG Emission Inventory Tool is viewed optimally under screen resolutions of 1024x768 pixels</t>
  </si>
  <si>
    <r>
      <t>Emission results are presented as metric tons of carbon dioxide equivalent (MTCO</t>
    </r>
    <r>
      <rPr>
        <vertAlign val="subscript"/>
        <sz val="10"/>
        <rFont val="Verdana"/>
        <family val="2"/>
      </rPr>
      <t>2</t>
    </r>
    <r>
      <rPr>
        <sz val="10"/>
        <rFont val="Verdana"/>
        <family val="2"/>
      </rPr>
      <t>E).  Carbon dioxide equivalent is a measure of a GHG's global warming potential (GWP) relative to the base gas - CO</t>
    </r>
    <r>
      <rPr>
        <vertAlign val="subscript"/>
        <sz val="10"/>
        <rFont val="Verdana"/>
        <family val="2"/>
      </rPr>
      <t>2</t>
    </r>
    <r>
      <rPr>
        <sz val="10"/>
        <rFont val="Verdana"/>
        <family val="2"/>
      </rPr>
      <t>, which has a GWP of 1.  Simplified, a GWP refers to a gas' ability to heat the atmosphere relative to CO</t>
    </r>
    <r>
      <rPr>
        <vertAlign val="subscript"/>
        <sz val="10"/>
        <rFont val="Verdana"/>
        <family val="2"/>
      </rPr>
      <t>2</t>
    </r>
    <r>
      <rPr>
        <sz val="10"/>
        <rFont val="Verdana"/>
        <family val="2"/>
      </rPr>
      <t>.  As an example, internationally agreed upon reporting procedures use GWPs provided by IPCC's second assessment report (SAR), which provides a value of 21 for CH</t>
    </r>
    <r>
      <rPr>
        <vertAlign val="subscript"/>
        <sz val="10"/>
        <rFont val="Verdana"/>
        <family val="2"/>
      </rPr>
      <t>4</t>
    </r>
    <r>
      <rPr>
        <sz val="10"/>
        <rFont val="Verdana"/>
        <family val="2"/>
      </rPr>
      <t>'s GWP.  Therefore, 1 metric ton of CH</t>
    </r>
    <r>
      <rPr>
        <vertAlign val="subscript"/>
        <sz val="10"/>
        <rFont val="Verdana"/>
        <family val="2"/>
      </rPr>
      <t>4</t>
    </r>
    <r>
      <rPr>
        <sz val="10"/>
        <rFont val="Verdana"/>
        <family val="2"/>
      </rPr>
      <t xml:space="preserve"> heats the atmosphere as effectively as 21 metric tons of CO</t>
    </r>
    <r>
      <rPr>
        <vertAlign val="subscript"/>
        <sz val="10"/>
        <rFont val="Verdana"/>
        <family val="2"/>
      </rPr>
      <t>2</t>
    </r>
    <r>
      <rPr>
        <sz val="10"/>
        <rFont val="Verdana"/>
        <family val="2"/>
      </rPr>
      <t xml:space="preserve">.  For a detailed definition of GWP, please consult the IPCC's </t>
    </r>
    <r>
      <rPr>
        <i/>
        <sz val="10"/>
        <rFont val="Verdana"/>
        <family val="2"/>
      </rPr>
      <t>2006 Guidelines for National Greenhouse Gas Emission Inventories</t>
    </r>
    <r>
      <rPr>
        <sz val="10"/>
        <rFont val="Verdana"/>
        <family val="2"/>
      </rPr>
      <t>.</t>
    </r>
  </si>
  <si>
    <t>For a full list of GWPs for all GHGs, please click here.</t>
  </si>
  <si>
    <t>The color key for input cells is below.  Yellow cells are where input data is required, white cells are automatically populated and provide default data and/or emission factors, and the light green cells provide emission estimates.</t>
  </si>
  <si>
    <t>After estimating emissions for each desired source, please proceed to the Summary Sheet to view the results of your emission inventory.</t>
  </si>
  <si>
    <r>
      <t>Calculators on this sheet allow you to estimate GHG emissions from GHG emission sources identified by WRI's Corporate Protocol Standard.  These sources include mobile combustion, purchased electricity, stationary fuel combustion, and refrigerant product use.  You may also estimate emissions from acetylene consumption and CO</t>
    </r>
    <r>
      <rPr>
        <b/>
        <vertAlign val="subscript"/>
        <sz val="11"/>
        <rFont val="Verdana"/>
        <family val="2"/>
      </rPr>
      <t>2</t>
    </r>
    <r>
      <rPr>
        <b/>
        <sz val="11"/>
        <rFont val="Verdana"/>
        <family val="2"/>
      </rPr>
      <t xml:space="preserve"> consumption.  Where applicable, the scope, as defined by WRI, is provided after the source name.  Emissions estimates for sources not included in the tool can be entered in the "Other Emissions" section.</t>
    </r>
  </si>
  <si>
    <t>Alternative Fuel Emission Factors</t>
  </si>
  <si>
    <t>Ethanol</t>
  </si>
  <si>
    <r>
      <t>lbs CO</t>
    </r>
    <r>
      <rPr>
        <vertAlign val="subscript"/>
        <sz val="8"/>
        <rFont val="Arial"/>
        <family val="2"/>
      </rPr>
      <t>2</t>
    </r>
    <r>
      <rPr>
        <sz val="8"/>
        <rFont val="Arial"/>
        <family val="2"/>
      </rPr>
      <t>/gallon fuel</t>
    </r>
  </si>
  <si>
    <r>
      <t>(lbs CO</t>
    </r>
    <r>
      <rPr>
        <vertAlign val="subscript"/>
        <sz val="10"/>
        <rFont val="Verdana"/>
        <family val="2"/>
      </rPr>
      <t>2</t>
    </r>
    <r>
      <rPr>
        <sz val="10"/>
        <rFont val="Verdana"/>
        <family val="2"/>
      </rPr>
      <t>/gallon fuel)</t>
    </r>
  </si>
  <si>
    <r>
      <t>Instructions:</t>
    </r>
    <r>
      <rPr>
        <sz val="10"/>
        <rFont val="Verdana"/>
        <family val="2"/>
      </rPr>
      <t xml:space="preserve"> Enter the amount and type of fuel consumed in company owned vehicles, non-road equipment, and watercraft.</t>
    </r>
  </si>
  <si>
    <t>Calculators 1 through 5 are for Gasoline, Diesel, and LPG vehicles</t>
  </si>
  <si>
    <t>Calculators 6 through 10 are for CNG, Ethanol, and Biodiesel Vehicles</t>
  </si>
  <si>
    <r>
      <t>The Shipbuilding GHG Emission Inventory tool is designed to estimate GHG emissions for sources that occur in shipyards.  Sources include mobile combustion (e.g., vehicles, non-road equipment, and watercraft), purchased electricity, stationary fuel sources (e.g., boilers, heaters, generators), refrigeration and air conditioning, and use of products such as acetylene gas and CO</t>
    </r>
    <r>
      <rPr>
        <vertAlign val="subscript"/>
        <sz val="10"/>
        <rFont val="Verdana"/>
        <family val="2"/>
      </rPr>
      <t>2</t>
    </r>
    <r>
      <rPr>
        <sz val="10"/>
        <rFont val="Verdana"/>
        <family val="2"/>
      </rPr>
      <t xml:space="preserve"> gas.  GHGs that are emitted by these sources include carbon dioxide (CO</t>
    </r>
    <r>
      <rPr>
        <vertAlign val="subscript"/>
        <sz val="10"/>
        <rFont val="Verdana"/>
        <family val="2"/>
      </rPr>
      <t>2</t>
    </r>
    <r>
      <rPr>
        <sz val="10"/>
        <rFont val="Verdana"/>
        <family val="2"/>
      </rPr>
      <t>), methane (CH</t>
    </r>
    <r>
      <rPr>
        <vertAlign val="subscript"/>
        <sz val="10"/>
        <rFont val="Verdana"/>
        <family val="2"/>
      </rPr>
      <t>4</t>
    </r>
    <r>
      <rPr>
        <sz val="10"/>
        <rFont val="Verdana"/>
        <family val="2"/>
      </rPr>
      <t>), nitrous oxide (N</t>
    </r>
    <r>
      <rPr>
        <vertAlign val="subscript"/>
        <sz val="10"/>
        <rFont val="Verdana"/>
        <family val="2"/>
      </rPr>
      <t>2</t>
    </r>
    <r>
      <rPr>
        <sz val="10"/>
        <rFont val="Verdana"/>
        <family val="2"/>
      </rPr>
      <t>O), hydroflourocarbons (HFCs) and perflourocarbons (PFCs); however, not all gases are emitted by all sources.</t>
    </r>
  </si>
  <si>
    <r>
      <t>Data on the amount of acetylene and CO</t>
    </r>
    <r>
      <rPr>
        <vertAlign val="subscript"/>
        <sz val="10"/>
        <rFont val="Verdana"/>
        <family val="2"/>
      </rPr>
      <t>2</t>
    </r>
    <r>
      <rPr>
        <sz val="10"/>
        <rFont val="Verdana"/>
        <family val="2"/>
      </rPr>
      <t xml:space="preserve"> consumed (cubic feet) for welding purposes.</t>
    </r>
  </si>
  <si>
    <t xml:space="preserve">The GHG emission inventory produced using this tool is an activity-based emission inventory.  That is, emissions are estimated using data on the activities that generate the emissions.  These data are described below and are detailed on the Calculations Sheet.  </t>
  </si>
  <si>
    <t>A second state input is provided to account for shipyards that purchase electricity from multiple providers with different emission factors.</t>
  </si>
  <si>
    <t>Developed By</t>
  </si>
  <si>
    <t xml:space="preserve"> </t>
  </si>
  <si>
    <t>Georgia</t>
  </si>
  <si>
    <t>United States</t>
  </si>
  <si>
    <t>Conversion Factors</t>
  </si>
  <si>
    <t>Mass</t>
  </si>
  <si>
    <t>1 pound (lb)</t>
  </si>
  <si>
    <t>453.6 grams (g)</t>
  </si>
  <si>
    <t>0.4536 kilograms (kg)</t>
  </si>
  <si>
    <t>0.0004536 metric tons (tonne)</t>
  </si>
  <si>
    <t>1 kilogram (kg)</t>
  </si>
  <si>
    <t>2.205 pounds (lb)</t>
  </si>
  <si>
    <t>1'000 grams (g)</t>
  </si>
  <si>
    <t>1 short ton (ton)</t>
  </si>
  <si>
    <t>2'000 pounds (lb)</t>
  </si>
  <si>
    <t>907.2 kilograms (kg)</t>
  </si>
  <si>
    <t>1 metric ton</t>
  </si>
  <si>
    <t>2'205 pounds (lb)</t>
  </si>
  <si>
    <t>1'000 kilograms (kg)</t>
  </si>
  <si>
    <t>1.1023 short tons (tons)</t>
  </si>
  <si>
    <t>Volume</t>
  </si>
  <si>
    <t>7.4805 gallons (gal)</t>
  </si>
  <si>
    <t>0.1781 barrel (bbl)</t>
  </si>
  <si>
    <t>28.32 liters (L)</t>
  </si>
  <si>
    <t>1 gallon (gal)</t>
  </si>
  <si>
    <t>0.0238 barrel (bbl)</t>
  </si>
  <si>
    <t>3.785 liters (L)</t>
  </si>
  <si>
    <t>1 barrel (bbl)</t>
  </si>
  <si>
    <t>42 gallons (gal)</t>
  </si>
  <si>
    <t>158.99 liters (L)</t>
  </si>
  <si>
    <t>1 litre (L)</t>
  </si>
  <si>
    <t>6.2897 barrels (bbl)</t>
  </si>
  <si>
    <t>264.2 gallons (gal)</t>
  </si>
  <si>
    <t>1'000 liters (L)</t>
  </si>
  <si>
    <t>Energy</t>
  </si>
  <si>
    <t>1 kilowatt hour (kWh)</t>
  </si>
  <si>
    <t>3412 Btu (btu)</t>
  </si>
  <si>
    <t>3'600 kilojoules (KJ)</t>
  </si>
  <si>
    <t>1 megajoule (MJ)</t>
  </si>
  <si>
    <t>0.001 gigajoules (GJ)</t>
  </si>
  <si>
    <t>1 gigajoule (GJ)</t>
  </si>
  <si>
    <t>0.9478 million Btu (million btu)</t>
  </si>
  <si>
    <t>277.8 kilowatt hours (kWh)</t>
  </si>
  <si>
    <t>1 Btu (btu)</t>
  </si>
  <si>
    <t>1'055 joules (J)</t>
  </si>
  <si>
    <t>1 million Btu (million btu)</t>
  </si>
  <si>
    <t>1.055 gigajoules (GJ)</t>
  </si>
  <si>
    <t>293 kilowatt hours (kWh)</t>
  </si>
  <si>
    <t>1 therm (therm)</t>
  </si>
  <si>
    <t xml:space="preserve">100'000 Btu (btu) </t>
  </si>
  <si>
    <t>0.1055 gigajoules (GJ)</t>
  </si>
  <si>
    <t>29.3 kilowatt hours (kWh)</t>
  </si>
  <si>
    <t>1 horsepower-hour (hp-hr)</t>
  </si>
  <si>
    <t>2545 Btu (btu)</t>
  </si>
  <si>
    <t>0.7457 kilowatt-hour (kWh)</t>
  </si>
  <si>
    <t>Heating Value</t>
  </si>
  <si>
    <t>Other</t>
  </si>
  <si>
    <t>kilo</t>
  </si>
  <si>
    <t>mega</t>
  </si>
  <si>
    <t>giga</t>
  </si>
  <si>
    <t>tera</t>
  </si>
  <si>
    <t>1 psi</t>
  </si>
  <si>
    <t>0.06895 bar</t>
  </si>
  <si>
    <t>0.9807 bar</t>
  </si>
  <si>
    <t>1 atmosphere (atm)</t>
  </si>
  <si>
    <t>1.01325 bar</t>
  </si>
  <si>
    <t>101.325 kilo pascals</t>
  </si>
  <si>
    <t>14.696 pounds per square inch (psia)</t>
  </si>
  <si>
    <t>1 mile (statue)</t>
  </si>
  <si>
    <t>1.609 kilometers</t>
  </si>
  <si>
    <t>1 metric ton carbon</t>
  </si>
  <si>
    <t>1 square foot</t>
  </si>
  <si>
    <t>0.092903 square meter</t>
  </si>
  <si>
    <r>
      <t xml:space="preserve">1 cubic foot (ft </t>
    </r>
    <r>
      <rPr>
        <vertAlign val="superscript"/>
        <sz val="11"/>
        <rFont val="Arial"/>
        <family val="2"/>
      </rPr>
      <t>3</t>
    </r>
    <r>
      <rPr>
        <sz val="11"/>
        <rFont val="Arial"/>
        <family val="2"/>
      </rPr>
      <t>)</t>
    </r>
  </si>
  <si>
    <r>
      <t xml:space="preserve">0.003785 cubic meters (m </t>
    </r>
    <r>
      <rPr>
        <vertAlign val="superscript"/>
        <sz val="11"/>
        <rFont val="Arial"/>
        <family val="2"/>
      </rPr>
      <t>3</t>
    </r>
    <r>
      <rPr>
        <sz val="11"/>
        <rFont val="Arial"/>
        <family val="2"/>
      </rPr>
      <t>)</t>
    </r>
  </si>
  <si>
    <r>
      <t xml:space="preserve">0.1589 cubic meters (m </t>
    </r>
    <r>
      <rPr>
        <vertAlign val="superscript"/>
        <sz val="11"/>
        <rFont val="Arial"/>
        <family val="2"/>
      </rPr>
      <t>3</t>
    </r>
    <r>
      <rPr>
        <sz val="11"/>
        <rFont val="Arial"/>
        <family val="2"/>
      </rPr>
      <t>)</t>
    </r>
  </si>
  <si>
    <r>
      <t xml:space="preserve">0.001 cubic meters (m </t>
    </r>
    <r>
      <rPr>
        <vertAlign val="superscript"/>
        <sz val="11"/>
        <rFont val="Arial"/>
        <family val="2"/>
      </rPr>
      <t>3</t>
    </r>
    <r>
      <rPr>
        <sz val="11"/>
        <rFont val="Arial"/>
        <family val="2"/>
      </rPr>
      <t>)</t>
    </r>
  </si>
  <si>
    <r>
      <t xml:space="preserve">1 cubic meter (m </t>
    </r>
    <r>
      <rPr>
        <vertAlign val="superscript"/>
        <sz val="11"/>
        <rFont val="Arial"/>
        <family val="2"/>
      </rPr>
      <t>3</t>
    </r>
    <r>
      <rPr>
        <sz val="11"/>
        <rFont val="Arial"/>
        <family val="2"/>
      </rPr>
      <t>)</t>
    </r>
  </si>
  <si>
    <r>
      <t>1 megawatt (10</t>
    </r>
    <r>
      <rPr>
        <vertAlign val="superscript"/>
        <sz val="11"/>
        <rFont val="Arial"/>
        <family val="2"/>
      </rPr>
      <t>6</t>
    </r>
    <r>
      <rPr>
        <sz val="11"/>
        <rFont val="Arial"/>
        <family val="2"/>
      </rPr>
      <t xml:space="preserve"> W)</t>
    </r>
  </si>
  <si>
    <r>
      <t>1'000 kilowatts (10</t>
    </r>
    <r>
      <rPr>
        <vertAlign val="superscript"/>
        <sz val="11"/>
        <rFont val="Arial"/>
        <family val="2"/>
      </rPr>
      <t>3</t>
    </r>
    <r>
      <rPr>
        <sz val="11"/>
        <rFont val="Arial"/>
        <family val="2"/>
      </rPr>
      <t xml:space="preserve"> W)</t>
    </r>
  </si>
  <si>
    <r>
      <t>1 pound/million Btu (lb/10</t>
    </r>
    <r>
      <rPr>
        <vertAlign val="superscript"/>
        <sz val="11"/>
        <rFont val="Arial"/>
        <family val="2"/>
      </rPr>
      <t>6</t>
    </r>
    <r>
      <rPr>
        <sz val="11"/>
        <rFont val="Arial"/>
        <family val="2"/>
      </rPr>
      <t xml:space="preserve"> Btu)</t>
    </r>
  </si>
  <si>
    <r>
      <t>430 grams/giga-Joule (g/10</t>
    </r>
    <r>
      <rPr>
        <vertAlign val="superscript"/>
        <sz val="11"/>
        <rFont val="Arial"/>
        <family val="2"/>
      </rPr>
      <t>9</t>
    </r>
    <r>
      <rPr>
        <sz val="11"/>
        <rFont val="Arial"/>
        <family val="2"/>
      </rPr>
      <t xml:space="preserve"> J)</t>
    </r>
  </si>
  <si>
    <r>
      <t xml:space="preserve">1 kgf / cm </t>
    </r>
    <r>
      <rPr>
        <vertAlign val="superscript"/>
        <sz val="11"/>
        <rFont val="Arial"/>
        <family val="2"/>
      </rPr>
      <t>3</t>
    </r>
    <r>
      <rPr>
        <sz val="11"/>
        <rFont val="Arial"/>
        <family val="2"/>
      </rPr>
      <t xml:space="preserve"> (tech atm)</t>
    </r>
  </si>
  <si>
    <r>
      <t>1 metric ton CH</t>
    </r>
    <r>
      <rPr>
        <vertAlign val="subscript"/>
        <sz val="11"/>
        <rFont val="Arial"/>
        <family val="2"/>
      </rPr>
      <t>4</t>
    </r>
  </si>
  <si>
    <r>
      <t>21 metric tons CO</t>
    </r>
    <r>
      <rPr>
        <vertAlign val="subscript"/>
        <sz val="11"/>
        <rFont val="Arial"/>
        <family val="2"/>
      </rPr>
      <t>2</t>
    </r>
    <r>
      <rPr>
        <sz val="11"/>
        <rFont val="Arial"/>
        <family val="2"/>
      </rPr>
      <t xml:space="preserve"> equivalent</t>
    </r>
  </si>
  <si>
    <r>
      <t>1 metric ton N</t>
    </r>
    <r>
      <rPr>
        <vertAlign val="subscript"/>
        <sz val="11"/>
        <rFont val="Arial"/>
        <family val="2"/>
      </rPr>
      <t>2</t>
    </r>
    <r>
      <rPr>
        <sz val="11"/>
        <rFont val="Arial"/>
        <family val="2"/>
      </rPr>
      <t>O</t>
    </r>
  </si>
  <si>
    <r>
      <t>310 metric tons CO</t>
    </r>
    <r>
      <rPr>
        <vertAlign val="subscript"/>
        <sz val="11"/>
        <rFont val="Arial"/>
        <family val="2"/>
      </rPr>
      <t>2</t>
    </r>
    <r>
      <rPr>
        <sz val="11"/>
        <rFont val="Arial"/>
        <family val="2"/>
      </rPr>
      <t xml:space="preserve"> equivalent</t>
    </r>
  </si>
  <si>
    <r>
      <t>3.664 metric tons CO</t>
    </r>
    <r>
      <rPr>
        <vertAlign val="subscript"/>
        <sz val="11"/>
        <rFont val="Arial"/>
        <family val="2"/>
      </rPr>
      <t>2</t>
    </r>
  </si>
  <si>
    <t>Table 1. GWPs of Common Greenhouse Gases and Refrigerants</t>
  </si>
  <si>
    <t>Gas or Blend</t>
  </si>
  <si>
    <t>GWP</t>
  </si>
  <si>
    <t>Source</t>
  </si>
  <si>
    <t>IPCC Second Assessment Report (1995)</t>
  </si>
  <si>
    <t>HFC-23</t>
  </si>
  <si>
    <t>HFC-32</t>
  </si>
  <si>
    <t>HFC-125</t>
  </si>
  <si>
    <t>HFC-134a</t>
  </si>
  <si>
    <t>HFC-143a</t>
  </si>
  <si>
    <t>HFC-152a</t>
  </si>
  <si>
    <t>HFC-236fa</t>
  </si>
  <si>
    <t>R-401A</t>
  </si>
  <si>
    <t>ASHRAE Standard 34</t>
  </si>
  <si>
    <t>R-401B</t>
  </si>
  <si>
    <t>R-401C</t>
  </si>
  <si>
    <t>R-402A</t>
  </si>
  <si>
    <t>R-402B</t>
  </si>
  <si>
    <t>R-403A</t>
  </si>
  <si>
    <t>R-403B</t>
  </si>
  <si>
    <t>R-404A</t>
  </si>
  <si>
    <t>R-406A</t>
  </si>
  <si>
    <t>R-407A</t>
  </si>
  <si>
    <t>R-407B</t>
  </si>
  <si>
    <t>R-407C</t>
  </si>
  <si>
    <t>R-407D</t>
  </si>
  <si>
    <t>R-407E</t>
  </si>
  <si>
    <t>R-408A</t>
  </si>
  <si>
    <t>R-409A</t>
  </si>
  <si>
    <t>R-409B</t>
  </si>
  <si>
    <t>R-410A</t>
  </si>
  <si>
    <t>R-410B</t>
  </si>
  <si>
    <t>R-411A</t>
  </si>
  <si>
    <t>R-411B</t>
  </si>
  <si>
    <t>R-412A</t>
  </si>
  <si>
    <t>R-413A</t>
  </si>
  <si>
    <t>R-414A</t>
  </si>
  <si>
    <t>R-414B</t>
  </si>
  <si>
    <t>R-415A</t>
  </si>
  <si>
    <t>R-415B</t>
  </si>
  <si>
    <t>R-416A</t>
  </si>
  <si>
    <t>R-417A</t>
  </si>
  <si>
    <t>R-418A</t>
  </si>
  <si>
    <t>R-419A</t>
  </si>
  <si>
    <t>R-420A</t>
  </si>
  <si>
    <t>R-500</t>
  </si>
  <si>
    <t>R-501</t>
  </si>
  <si>
    <t>R-502</t>
  </si>
  <si>
    <t>R-503</t>
  </si>
  <si>
    <t>R-504</t>
  </si>
  <si>
    <t>R-505</t>
  </si>
  <si>
    <t>R-506</t>
  </si>
  <si>
    <t>R-507 or R-507A</t>
  </si>
  <si>
    <t>R-508A</t>
  </si>
  <si>
    <t>R-508B</t>
  </si>
  <si>
    <t>R-509 or R-509A</t>
  </si>
  <si>
    <t>UNEP OzonAction Programme Chemical Database (Online)</t>
  </si>
  <si>
    <t>* Included for reference purposes only.</t>
  </si>
  <si>
    <t>Table 2. Default Assumptions from IPCC Good Practice Guidelines*</t>
  </si>
  <si>
    <t>Application</t>
  </si>
  <si>
    <t>Lifetime (years)</t>
  </si>
  <si>
    <t>Emission Factors (% of initial charge/yr)</t>
  </si>
  <si>
    <t>Charge (kg)</t>
  </si>
  <si>
    <t>Assembly</t>
  </si>
  <si>
    <t>Annual Leakage Rate</t>
  </si>
  <si>
    <t>Transport Refrigeration</t>
  </si>
  <si>
    <t>Chillers</t>
  </si>
  <si>
    <t>* These values are from IPCC Good Practice Guidelines and Uncertainty Management in National Greenhouse Gas Inventories (2000).These default values are provided for reference purposes only as their wide range can result in highly variable calculation outc</t>
  </si>
  <si>
    <r>
      <t>CH</t>
    </r>
    <r>
      <rPr>
        <vertAlign val="subscript"/>
        <sz val="10"/>
        <rFont val="Arial"/>
        <family val="2"/>
      </rPr>
      <t>4</t>
    </r>
    <r>
      <rPr>
        <sz val="10"/>
        <rFont val="Arial"/>
        <family val="2"/>
      </rPr>
      <t>*</t>
    </r>
  </si>
  <si>
    <r>
      <t>N</t>
    </r>
    <r>
      <rPr>
        <vertAlign val="subscript"/>
        <sz val="10"/>
        <rFont val="Arial"/>
        <family val="2"/>
      </rPr>
      <t>2</t>
    </r>
    <r>
      <rPr>
        <sz val="10"/>
        <rFont val="Arial"/>
        <family val="2"/>
      </rPr>
      <t>O*</t>
    </r>
  </si>
  <si>
    <r>
      <t>PFC-218 (C</t>
    </r>
    <r>
      <rPr>
        <vertAlign val="subscript"/>
        <sz val="10"/>
        <rFont val="Arial"/>
        <family val="2"/>
      </rPr>
      <t>3</t>
    </r>
    <r>
      <rPr>
        <sz val="10"/>
        <rFont val="Arial"/>
        <family val="2"/>
      </rPr>
      <t>F</t>
    </r>
    <r>
      <rPr>
        <vertAlign val="subscript"/>
        <sz val="10"/>
        <rFont val="Arial"/>
        <family val="2"/>
      </rPr>
      <t>8</t>
    </r>
    <r>
      <rPr>
        <sz val="10"/>
        <rFont val="Arial"/>
        <family val="2"/>
      </rPr>
      <t>)</t>
    </r>
  </si>
  <si>
    <r>
      <t>PFC-116 (C</t>
    </r>
    <r>
      <rPr>
        <vertAlign val="subscript"/>
        <sz val="10"/>
        <rFont val="Arial"/>
        <family val="2"/>
      </rPr>
      <t>2</t>
    </r>
    <r>
      <rPr>
        <sz val="10"/>
        <rFont val="Arial"/>
        <family val="2"/>
      </rPr>
      <t>F</t>
    </r>
    <r>
      <rPr>
        <vertAlign val="subscript"/>
        <sz val="10"/>
        <rFont val="Arial"/>
        <family val="2"/>
      </rPr>
      <t>6</t>
    </r>
    <r>
      <rPr>
        <sz val="10"/>
        <rFont val="Arial"/>
        <family val="2"/>
      </rPr>
      <t>)</t>
    </r>
  </si>
  <si>
    <r>
      <t>PFC-14 (CF</t>
    </r>
    <r>
      <rPr>
        <vertAlign val="subscript"/>
        <sz val="10"/>
        <rFont val="Arial"/>
        <family val="2"/>
      </rPr>
      <t>4</t>
    </r>
    <r>
      <rPr>
        <sz val="10"/>
        <rFont val="Arial"/>
        <family val="2"/>
      </rPr>
      <t>)</t>
    </r>
  </si>
  <si>
    <t>A</t>
  </si>
  <si>
    <t>B</t>
  </si>
  <si>
    <t>C</t>
  </si>
  <si>
    <t>D</t>
  </si>
  <si>
    <t>F</t>
  </si>
  <si>
    <t>Energy used</t>
  </si>
  <si>
    <t>Emissions Factor</t>
  </si>
  <si>
    <t>Type of Fuel Used</t>
  </si>
  <si>
    <t>GJ per Fuel Unit</t>
  </si>
  <si>
    <t>kg CO2 per GJ</t>
  </si>
  <si>
    <t>Fuel</t>
  </si>
  <si>
    <t>Default</t>
  </si>
  <si>
    <t>Source Description</t>
  </si>
  <si>
    <t>Units</t>
  </si>
  <si>
    <t>Type</t>
  </si>
  <si>
    <t>GJ/unit</t>
  </si>
  <si>
    <t>kg CO2/GJ</t>
  </si>
  <si>
    <t>Road transportation</t>
  </si>
  <si>
    <t>Sample fleet</t>
  </si>
  <si>
    <t>US gals</t>
  </si>
  <si>
    <t>Gasoline</t>
  </si>
  <si>
    <t>Metric tonnes</t>
  </si>
  <si>
    <t>Diesel</t>
  </si>
  <si>
    <t>lbs.</t>
  </si>
  <si>
    <t>CNG</t>
  </si>
  <si>
    <t>kg</t>
  </si>
  <si>
    <t>LPG</t>
  </si>
  <si>
    <t xml:space="preserve">Rail transportation </t>
  </si>
  <si>
    <t>Residual</t>
  </si>
  <si>
    <t>Short tons</t>
  </si>
  <si>
    <t>Coal</t>
  </si>
  <si>
    <t xml:space="preserve">Water transportation </t>
  </si>
  <si>
    <t>Jet kerosene</t>
  </si>
  <si>
    <t>Total</t>
  </si>
  <si>
    <t>Default emission factors are from: IPCC, 1999, Volume 2, Section 1, if not otherwise noted.</t>
  </si>
  <si>
    <t>Fuel type</t>
  </si>
  <si>
    <t>kg CO2 / GJ (based on lower heating value)</t>
  </si>
  <si>
    <t>Gasoline / petrol</t>
  </si>
  <si>
    <t>Kerosene</t>
  </si>
  <si>
    <t>Jet Fuel</t>
  </si>
  <si>
    <t>70.72 (EIA)</t>
  </si>
  <si>
    <t>Aviation gasoline</t>
  </si>
  <si>
    <t>69.11 (EIA)</t>
  </si>
  <si>
    <t>Distillate fuel oil No.1</t>
  </si>
  <si>
    <t>Distillate fuel oil No.2</t>
  </si>
  <si>
    <t>Residual Fuel oil#4</t>
  </si>
  <si>
    <t>Residual Fuel oil#5</t>
  </si>
  <si>
    <t>Residual Fuel oil#6</t>
  </si>
  <si>
    <t>Lubricants</t>
  </si>
  <si>
    <t>Anthracite</t>
  </si>
  <si>
    <t>Bituminous coal</t>
  </si>
  <si>
    <t>Butane</t>
  </si>
  <si>
    <t>Propane</t>
  </si>
  <si>
    <t>62.99 (EIA)</t>
  </si>
  <si>
    <t>Sub-bituminous coal</t>
  </si>
  <si>
    <t>Wood, wood waste</t>
  </si>
  <si>
    <t>100.44 (EIA)</t>
  </si>
  <si>
    <t>Natural gas</t>
  </si>
  <si>
    <t>Lower</t>
  </si>
  <si>
    <t>heat value</t>
  </si>
  <si>
    <t>(derived)</t>
  </si>
  <si>
    <t>Typical density</t>
  </si>
  <si>
    <t>IEA</t>
  </si>
  <si>
    <t>kg CO2/tonne</t>
  </si>
  <si>
    <t>kg CO2 / GJ (IPCC, 1999)</t>
  </si>
  <si>
    <t xml:space="preserve"> GJ / liter (API, 2001)</t>
  </si>
  <si>
    <t>GJ/ US gallon</t>
  </si>
  <si>
    <t>GJ/Imp Gal</t>
  </si>
  <si>
    <t>GJ/tonne</t>
  </si>
  <si>
    <t>kgCO2/liter</t>
  </si>
  <si>
    <t>kgCO2/US gal</t>
  </si>
  <si>
    <t>lb / gal (API, 2001)</t>
  </si>
  <si>
    <t>Density*</t>
  </si>
  <si>
    <t>(UK DETR)</t>
  </si>
  <si>
    <t>0.02860 GJ / kg</t>
  </si>
  <si>
    <t>0.03023 GJ/kg</t>
  </si>
  <si>
    <t>4.84 (liquid)</t>
  </si>
  <si>
    <t>4.24 (liquid)</t>
  </si>
  <si>
    <t>0.039 GJ / standard cubic meter</t>
  </si>
  <si>
    <t>Source:</t>
  </si>
  <si>
    <t>IPCC</t>
  </si>
  <si>
    <t>API, 2001(for heating values)</t>
  </si>
  <si>
    <t>(unless noted)</t>
  </si>
  <si>
    <t>Density:: International Energy Annual, 1998     http://www.eia.doe.gov/emeu/iea/convheat.html</t>
  </si>
  <si>
    <t>kg CO2/gallon gas</t>
  </si>
  <si>
    <t>See transport fuels emissions factors above</t>
  </si>
  <si>
    <t>kg CO2/ liter gas</t>
  </si>
  <si>
    <t xml:space="preserve">kg CO2/gallon diesel </t>
  </si>
  <si>
    <t>for CO2/gallon sources</t>
  </si>
  <si>
    <t>kg CO2/ liter diesel</t>
  </si>
  <si>
    <t>E</t>
  </si>
  <si>
    <t>G</t>
  </si>
  <si>
    <t xml:space="preserve">Miles per </t>
  </si>
  <si>
    <t>Kg CO2</t>
  </si>
  <si>
    <t>G CO2</t>
  </si>
  <si>
    <t>Km per</t>
  </si>
  <si>
    <t>Gas</t>
  </si>
  <si>
    <t>Liters per</t>
  </si>
  <si>
    <t xml:space="preserve"> gallon</t>
  </si>
  <si>
    <t>per mile</t>
  </si>
  <si>
    <t>mile</t>
  </si>
  <si>
    <t>g CO2/km</t>
  </si>
  <si>
    <t>100 km</t>
  </si>
  <si>
    <t xml:space="preserve"> x 1000</t>
  </si>
  <si>
    <t xml:space="preserve"> = C / D</t>
  </si>
  <si>
    <t>To convert miles per gallon to liters per 100 km, divide 100 by (mpg/3.785*1.6093)</t>
  </si>
  <si>
    <t>Emissions factors for various fuels</t>
  </si>
  <si>
    <t>Liquid fuel emission factors</t>
  </si>
  <si>
    <t>U.S. Energy Information Administration (EIA) Data</t>
  </si>
  <si>
    <t>Distillate Fuel (No. 1, No.  2, No. 4 Fuel Oil and Diesel)</t>
  </si>
  <si>
    <t>Liquified Petroleum Gases (LPG)</t>
  </si>
  <si>
    <t>Motor Gasoline</t>
  </si>
  <si>
    <t>Petroleum Coke</t>
  </si>
  <si>
    <t>Residual Fuel (No. 5 and No. 6 Fuel Oil)</t>
  </si>
  <si>
    <t>Source: Data in "lbs CO2 / U.S. gallons fuel used" units from U.S. Energy Information Administration (EIA). Voluntary Reporting of Greenhouse Gases Program, Emission Coefficients, http://www.eia.doe.gov/oiaf/1605/factors.html.</t>
  </si>
  <si>
    <t>UK  Department for Environment, Food and Rural Affairs (DEFRA) Data</t>
  </si>
  <si>
    <t>Gas Oil</t>
  </si>
  <si>
    <t>Petrol</t>
  </si>
  <si>
    <t>Aviation Spirit</t>
  </si>
  <si>
    <t>Aviation Turbine Fuel</t>
  </si>
  <si>
    <t>Source: Data in "kg CO2 / litres fuel used" units from UK DEFRA. Annexes to Guidelines for Company Reporting on Greenhouse Gas Emissions, Table 9, Updated July 2005, http://www.defra.gov.uk/environment/business/envrp/gas/.</t>
  </si>
  <si>
    <t>Natural gas emission factors</t>
  </si>
  <si>
    <t>Methane</t>
  </si>
  <si>
    <t>Flare Gas</t>
  </si>
  <si>
    <t>Natural Gas (Pipeline)</t>
  </si>
  <si>
    <t>Source: Data in "lbs CO2 / 1,000 cubic feet" units from U.S. EIA. Voluntary Reporting of Greenhouse Gases Program, Emission Coefficients, http://www.eia.doe.gov/oiaf/1605/factors.html.</t>
  </si>
  <si>
    <t>Natural Gas</t>
  </si>
  <si>
    <t>Source: Data in "kg CO2 / therm" units from UK DEFRA. Annexes to Guidelines for Company Reporting on Greenhouse Gas Emissions, Table 9, Updated July 2005, http://www.defra.gov.uk/environment/business/envrp/gas/.</t>
  </si>
  <si>
    <t>Coal emission factors</t>
  </si>
  <si>
    <t>Anthracite Coal</t>
  </si>
  <si>
    <t>Bituminous Coal</t>
  </si>
  <si>
    <t>Subbituminous Coal</t>
  </si>
  <si>
    <t>Lignite Coal</t>
  </si>
  <si>
    <t>Source: Data in "lbs CO2 / short ton" units from U.S. Energy Information Administration (EIA). Voluntary Reporting of Greenhouse Gases Program, Emission Coefficients, http://www.eia.doe.gov/oiaf/1605/factors.html.</t>
  </si>
  <si>
    <t>Coking Coal</t>
  </si>
  <si>
    <t>Source: Data in "kg CO2 / metric tonne" units from UK DEFRA. Annexes to Guidelines for Company Reporting on Greenhouse Gas Emissions, Table 9, Updated July 2005, http://www.defra.gov.uk/environment/business/envrp/gas/.</t>
  </si>
  <si>
    <r>
      <t>lbs CO</t>
    </r>
    <r>
      <rPr>
        <b/>
        <vertAlign val="subscript"/>
        <sz val="11"/>
        <rFont val="Trebuchet MS"/>
        <family val="2"/>
      </rPr>
      <t>2</t>
    </r>
    <r>
      <rPr>
        <b/>
        <sz val="11"/>
        <rFont val="Trebuchet MS"/>
        <family val="2"/>
      </rPr>
      <t xml:space="preserve"> / U.S. gallons fuel used</t>
    </r>
  </si>
  <si>
    <r>
      <t>kg CO</t>
    </r>
    <r>
      <rPr>
        <b/>
        <vertAlign val="subscript"/>
        <sz val="11"/>
        <rFont val="Trebuchet MS"/>
        <family val="2"/>
      </rPr>
      <t>2</t>
    </r>
    <r>
      <rPr>
        <b/>
        <sz val="11"/>
        <rFont val="Trebuchet MS"/>
        <family val="2"/>
      </rPr>
      <t xml:space="preserve"> / U.S. gallons fuel used</t>
    </r>
  </si>
  <si>
    <r>
      <t>kg CO</t>
    </r>
    <r>
      <rPr>
        <b/>
        <vertAlign val="subscript"/>
        <sz val="11"/>
        <rFont val="Trebuchet MS"/>
        <family val="2"/>
      </rPr>
      <t>2</t>
    </r>
    <r>
      <rPr>
        <b/>
        <sz val="11"/>
        <rFont val="Trebuchet MS"/>
        <family val="2"/>
      </rPr>
      <t xml:space="preserve"> / litres fuel used</t>
    </r>
  </si>
  <si>
    <r>
      <t>kg CO</t>
    </r>
    <r>
      <rPr>
        <b/>
        <vertAlign val="subscript"/>
        <sz val="11"/>
        <rFont val="Trebuchet MS"/>
        <family val="2"/>
      </rPr>
      <t>2</t>
    </r>
    <r>
      <rPr>
        <b/>
        <sz val="11"/>
        <rFont val="Trebuchet MS"/>
        <family val="2"/>
      </rPr>
      <t xml:space="preserve"> / US gallons fuel used</t>
    </r>
  </si>
  <si>
    <r>
      <t>lbs CO</t>
    </r>
    <r>
      <rPr>
        <b/>
        <vertAlign val="subscript"/>
        <sz val="11"/>
        <rFont val="Trebuchet MS"/>
        <family val="2"/>
      </rPr>
      <t>2</t>
    </r>
    <r>
      <rPr>
        <b/>
        <sz val="11"/>
        <rFont val="Trebuchet MS"/>
        <family val="2"/>
      </rPr>
      <t xml:space="preserve"> / 1,000 cubic feet</t>
    </r>
  </si>
  <si>
    <r>
      <t>kg CO</t>
    </r>
    <r>
      <rPr>
        <b/>
        <vertAlign val="subscript"/>
        <sz val="11"/>
        <rFont val="Trebuchet MS"/>
        <family val="2"/>
      </rPr>
      <t>2</t>
    </r>
    <r>
      <rPr>
        <b/>
        <sz val="11"/>
        <rFont val="Trebuchet MS"/>
        <family val="2"/>
      </rPr>
      <t xml:space="preserve"> / 100 cubic feet (CCF)</t>
    </r>
  </si>
  <si>
    <r>
      <t>kg CO</t>
    </r>
    <r>
      <rPr>
        <b/>
        <vertAlign val="subscript"/>
        <sz val="11"/>
        <rFont val="Trebuchet MS"/>
        <family val="2"/>
      </rPr>
      <t>2</t>
    </r>
    <r>
      <rPr>
        <b/>
        <sz val="11"/>
        <rFont val="Trebuchet MS"/>
        <family val="2"/>
      </rPr>
      <t xml:space="preserve"> / therm</t>
    </r>
  </si>
  <si>
    <r>
      <t>lbs CO</t>
    </r>
    <r>
      <rPr>
        <b/>
        <vertAlign val="subscript"/>
        <sz val="11"/>
        <rFont val="Trebuchet MS"/>
        <family val="2"/>
      </rPr>
      <t>2</t>
    </r>
    <r>
      <rPr>
        <b/>
        <sz val="11"/>
        <rFont val="Trebuchet MS"/>
        <family val="2"/>
      </rPr>
      <t xml:space="preserve"> / short ton</t>
    </r>
  </si>
  <si>
    <r>
      <t>kg CO</t>
    </r>
    <r>
      <rPr>
        <b/>
        <vertAlign val="subscript"/>
        <sz val="11"/>
        <rFont val="Trebuchet MS"/>
        <family val="2"/>
      </rPr>
      <t>2</t>
    </r>
    <r>
      <rPr>
        <b/>
        <sz val="11"/>
        <rFont val="Trebuchet MS"/>
        <family val="2"/>
      </rPr>
      <t xml:space="preserve"> / short ton</t>
    </r>
  </si>
  <si>
    <r>
      <t>kg CO</t>
    </r>
    <r>
      <rPr>
        <b/>
        <vertAlign val="subscript"/>
        <sz val="11"/>
        <rFont val="Trebuchet MS"/>
        <family val="2"/>
      </rPr>
      <t>2</t>
    </r>
    <r>
      <rPr>
        <b/>
        <sz val="11"/>
        <rFont val="Trebuchet MS"/>
        <family val="2"/>
      </rPr>
      <t xml:space="preserve"> / lb</t>
    </r>
  </si>
  <si>
    <r>
      <t>kg CO</t>
    </r>
    <r>
      <rPr>
        <b/>
        <vertAlign val="subscript"/>
        <sz val="11"/>
        <rFont val="Trebuchet MS"/>
        <family val="2"/>
      </rPr>
      <t>2</t>
    </r>
    <r>
      <rPr>
        <b/>
        <sz val="11"/>
        <rFont val="Trebuchet MS"/>
        <family val="2"/>
      </rPr>
      <t xml:space="preserve"> / metric tonne</t>
    </r>
  </si>
  <si>
    <r>
      <t>kg CO</t>
    </r>
    <r>
      <rPr>
        <b/>
        <vertAlign val="subscript"/>
        <sz val="11"/>
        <rFont val="Trebuchet MS"/>
        <family val="2"/>
      </rPr>
      <t>2</t>
    </r>
    <r>
      <rPr>
        <b/>
        <sz val="11"/>
        <rFont val="Trebuchet MS"/>
        <family val="2"/>
      </rPr>
      <t xml:space="preserve"> / kg</t>
    </r>
  </si>
  <si>
    <t>Electricity Consumption (kWh)</t>
  </si>
  <si>
    <t>x</t>
  </si>
  <si>
    <t>=</t>
  </si>
  <si>
    <t>Inventory Year:</t>
  </si>
  <si>
    <t>Fuel Type</t>
  </si>
  <si>
    <t>Range</t>
  </si>
  <si>
    <t>Typical</t>
  </si>
  <si>
    <t>Coal-based fuels</t>
  </si>
  <si>
    <t>Anthracite coal</t>
  </si>
  <si>
    <t>21-34</t>
  </si>
  <si>
    <t>varies</t>
  </si>
  <si>
    <t>9-15</t>
  </si>
  <si>
    <t>"Rule of Thumb" conversion</t>
  </si>
  <si>
    <t>9-36</t>
  </si>
  <si>
    <t>4-15</t>
  </si>
  <si>
    <t>NCV = GCV x 0.95   for solid/liquid fuels and</t>
  </si>
  <si>
    <t>11-29</t>
  </si>
  <si>
    <t>5-12</t>
  </si>
  <si>
    <t>NCV = GCV x 0.90   for gaseous fuels</t>
  </si>
  <si>
    <t>Lignite coal</t>
  </si>
  <si>
    <t>6-23</t>
  </si>
  <si>
    <t>3-10</t>
  </si>
  <si>
    <t xml:space="preserve">   or</t>
  </si>
  <si>
    <t>Coal coke</t>
  </si>
  <si>
    <t>21-36</t>
  </si>
  <si>
    <t>LHV = HHV x 0.95   for solid/liquid fuels and</t>
  </si>
  <si>
    <t>Patent fuel</t>
  </si>
  <si>
    <t>14-33</t>
  </si>
  <si>
    <t>6-14</t>
  </si>
  <si>
    <t>LHV = HHV x 0.90   for gaseous fuels</t>
  </si>
  <si>
    <t>BKB</t>
  </si>
  <si>
    <t>8-23</t>
  </si>
  <si>
    <t>Natural gas-based fuels</t>
  </si>
  <si>
    <t>38-55</t>
  </si>
  <si>
    <t>16-24</t>
  </si>
  <si>
    <t>Natural gas (dry)</t>
  </si>
  <si>
    <t>39-55</t>
  </si>
  <si>
    <t>17-24</t>
  </si>
  <si>
    <t>-</t>
  </si>
  <si>
    <t>Ethane</t>
  </si>
  <si>
    <t>Isobutane</t>
  </si>
  <si>
    <t>n-Butane</t>
  </si>
  <si>
    <t>Natural gas liquids (LNG)</t>
  </si>
  <si>
    <t>46-55</t>
  </si>
  <si>
    <t>20-24</t>
  </si>
  <si>
    <t>Petroleum-based fuels</t>
  </si>
  <si>
    <t>Crude oil</t>
  </si>
  <si>
    <t>37-48</t>
  </si>
  <si>
    <t>16-21</t>
  </si>
  <si>
    <t>Motor gasoline / petrol</t>
  </si>
  <si>
    <t>46-48</t>
  </si>
  <si>
    <t>20-21</t>
  </si>
  <si>
    <t>47-50</t>
  </si>
  <si>
    <t>20-22</t>
  </si>
  <si>
    <t>Distillate Oil</t>
  </si>
  <si>
    <t>43-49</t>
  </si>
  <si>
    <t>19-21</t>
  </si>
  <si>
    <t>43-46</t>
  </si>
  <si>
    <t>19-20</t>
  </si>
  <si>
    <t>44-49</t>
  </si>
  <si>
    <t>Distillate fuel oil No.4</t>
  </si>
  <si>
    <t>45-47</t>
  </si>
  <si>
    <t>Residual Oil</t>
  </si>
  <si>
    <t>39-48</t>
  </si>
  <si>
    <t>17-21</t>
  </si>
  <si>
    <t>Residual fuel oil No.5</t>
  </si>
  <si>
    <t>39-47</t>
  </si>
  <si>
    <t>17-20</t>
  </si>
  <si>
    <t>Residual fuel oil No.6</t>
  </si>
  <si>
    <t>46-47</t>
  </si>
  <si>
    <t>19.8-20.2</t>
  </si>
  <si>
    <t>Kerosene (other)</t>
  </si>
  <si>
    <t>19.8-20.7</t>
  </si>
  <si>
    <t>29-42</t>
  </si>
  <si>
    <t>12-18</t>
  </si>
  <si>
    <t>45-53</t>
  </si>
  <si>
    <t>19-23</t>
  </si>
  <si>
    <t>Naphtha</t>
  </si>
  <si>
    <t>33-49</t>
  </si>
  <si>
    <t>14-21</t>
  </si>
  <si>
    <t>Asphalt / bitumen</t>
  </si>
  <si>
    <t>41-43</t>
  </si>
  <si>
    <t>18-19</t>
  </si>
  <si>
    <t>Pitch</t>
  </si>
  <si>
    <t>37-41</t>
  </si>
  <si>
    <t>16-18</t>
  </si>
  <si>
    <t>40-46</t>
  </si>
  <si>
    <t>Waxes</t>
  </si>
  <si>
    <t>44-47</t>
  </si>
  <si>
    <t>Shale oil (liquid)</t>
  </si>
  <si>
    <t>36-42</t>
  </si>
  <si>
    <t>15-18</t>
  </si>
  <si>
    <t>Oil shale</t>
  </si>
  <si>
    <t>2-5</t>
  </si>
  <si>
    <t>Other Fuels</t>
  </si>
  <si>
    <t>13-21</t>
  </si>
  <si>
    <t>5-9</t>
  </si>
  <si>
    <t>Waste plastics</t>
  </si>
  <si>
    <t>17-43</t>
  </si>
  <si>
    <t>7-19</t>
  </si>
  <si>
    <t>Tar</t>
  </si>
  <si>
    <t>22-36</t>
  </si>
  <si>
    <t>Waste tire derived fuels</t>
  </si>
  <si>
    <t>27-38</t>
  </si>
  <si>
    <t>12-16</t>
  </si>
  <si>
    <t>Biomass</t>
  </si>
  <si>
    <t>Wood (dry)</t>
  </si>
  <si>
    <t>14-22</t>
  </si>
  <si>
    <t>6-9</t>
  </si>
  <si>
    <t>Wood (wet)</t>
  </si>
  <si>
    <t>3-6</t>
  </si>
  <si>
    <t>Fuelwood (approx. 20% moisture)</t>
  </si>
  <si>
    <t>14-19</t>
  </si>
  <si>
    <t>6-8</t>
  </si>
  <si>
    <t>Black liquor</t>
  </si>
  <si>
    <t>10-15</t>
  </si>
  <si>
    <t>4-6</t>
  </si>
  <si>
    <t>9-24</t>
  </si>
  <si>
    <t>4-10</t>
  </si>
  <si>
    <t>Biodiesel</t>
  </si>
  <si>
    <t>38-44</t>
  </si>
  <si>
    <t>16-19</t>
  </si>
  <si>
    <t>Turpentine</t>
  </si>
  <si>
    <t>39-45</t>
  </si>
  <si>
    <t>17-19</t>
  </si>
  <si>
    <t>Vegetable oils</t>
  </si>
  <si>
    <t>32-48</t>
  </si>
  <si>
    <r>
      <t>a</t>
    </r>
    <r>
      <rPr>
        <sz val="10"/>
        <rFont val="Arial"/>
        <family val="0"/>
      </rPr>
      <t xml:space="preserve"> Dry unless otherwise noted.</t>
    </r>
  </si>
  <si>
    <r>
      <t>b</t>
    </r>
    <r>
      <rPr>
        <sz val="10"/>
        <rFont val="Arial"/>
        <family val="0"/>
      </rPr>
      <t xml:space="preserve"> Value can be significantly effected by moisture content of fuel</t>
    </r>
  </si>
  <si>
    <t>Reference:</t>
  </si>
  <si>
    <t xml:space="preserve">Typical values are based on a compilation of commonly accepted sources such as IPCC, U.S. DOE/EIA, national inventory reports to the UNFCCC, and other sources.  </t>
  </si>
  <si>
    <t xml:space="preserve">The values are meant only to provide guidance for users who are developing their own values. </t>
  </si>
  <si>
    <t>Users are encouraged to develop their own values based on the actual characteristics of the fuel being combusted.</t>
  </si>
  <si>
    <t>Default Densities of Liquid and Gaseous Fuels</t>
  </si>
  <si>
    <t>0.6-0.9</t>
  </si>
  <si>
    <t>0.037-0.055</t>
  </si>
  <si>
    <t>0.037-0.056</t>
  </si>
  <si>
    <t>0.42-0.54</t>
  </si>
  <si>
    <t>3.5-4.5</t>
  </si>
  <si>
    <t>0.7-0.9</t>
  </si>
  <si>
    <t>5.8-7.5</t>
  </si>
  <si>
    <t>0.73-0.76</t>
  </si>
  <si>
    <t>6.1-6.3</t>
  </si>
  <si>
    <t>0.7-0.72</t>
  </si>
  <si>
    <t>5.8-6.0</t>
  </si>
  <si>
    <t>0.82-0.95</t>
  </si>
  <si>
    <t>6.8-7.9</t>
  </si>
  <si>
    <t>0.82-0.85</t>
  </si>
  <si>
    <t>6.8-7.1</t>
  </si>
  <si>
    <t>0.91-0.95</t>
  </si>
  <si>
    <t>7.6-7.9</t>
  </si>
  <si>
    <t>0.93-1.03</t>
  </si>
  <si>
    <t>7.8-8.6</t>
  </si>
  <si>
    <t>0.93-0.95</t>
  </si>
  <si>
    <t>7.8-7.9</t>
  </si>
  <si>
    <t>0.89-1.01</t>
  </si>
  <si>
    <t>7.4-8.5</t>
  </si>
  <si>
    <t>0.76-0.83</t>
  </si>
  <si>
    <t>6.3-6.9</t>
  </si>
  <si>
    <t>0.79-0.82</t>
  </si>
  <si>
    <t>6.6-6.8</t>
  </si>
  <si>
    <t>0.53-0.55</t>
  </si>
  <si>
    <t>4.5-4.6</t>
  </si>
  <si>
    <t>0.75-0.82</t>
  </si>
  <si>
    <t>6.3-6.8</t>
  </si>
  <si>
    <t>0.8-1.1</t>
  </si>
  <si>
    <t>6.7-9.2</t>
  </si>
  <si>
    <t>0.96-1.00</t>
  </si>
  <si>
    <t>8.0-8.3</t>
  </si>
  <si>
    <t>Peat</t>
  </si>
  <si>
    <t>Landfill gas</t>
  </si>
  <si>
    <t>0.67-1.2</t>
  </si>
  <si>
    <t>0.042-0.075</t>
  </si>
  <si>
    <t>Waste water treatment biogasc</t>
  </si>
  <si>
    <t>0.042-0.076</t>
  </si>
  <si>
    <t>6.9-7.2</t>
  </si>
  <si>
    <t>7.4-7.5</t>
  </si>
  <si>
    <t xml:space="preserve">Typical values are based on a compilation of commonly accepted sources such as U.S. DOE/EIA, national inventory reports to the UNFCCC, and other sources.  </t>
  </si>
  <si>
    <t>Default Carbon Content Values</t>
  </si>
  <si>
    <t>(kg C/GJ)</t>
  </si>
  <si>
    <t>(lb C/Million Btu)</t>
  </si>
  <si>
    <t>25-30</t>
  </si>
  <si>
    <t>58-70</t>
  </si>
  <si>
    <t>22-26</t>
  </si>
  <si>
    <t>51-60</t>
  </si>
  <si>
    <t>23-28</t>
  </si>
  <si>
    <t>54-65</t>
  </si>
  <si>
    <t>23-29</t>
  </si>
  <si>
    <t>53-67</t>
  </si>
  <si>
    <t>26-38</t>
  </si>
  <si>
    <t>60-88</t>
  </si>
  <si>
    <t>23-30</t>
  </si>
  <si>
    <t>53-70</t>
  </si>
  <si>
    <t>13-16</t>
  </si>
  <si>
    <t>30-37</t>
  </si>
  <si>
    <t>13-17</t>
  </si>
  <si>
    <t>30-40</t>
  </si>
  <si>
    <t>40-49</t>
  </si>
  <si>
    <t>40-44</t>
  </si>
  <si>
    <t>17.7-18.0</t>
  </si>
  <si>
    <t>41-42</t>
  </si>
  <si>
    <t>18-20</t>
  </si>
  <si>
    <t>42-46</t>
  </si>
  <si>
    <t>46-49</t>
  </si>
  <si>
    <t>42-44</t>
  </si>
  <si>
    <t>18-19.5</t>
  </si>
  <si>
    <t>42-45</t>
  </si>
  <si>
    <t>24-27</t>
  </si>
  <si>
    <t>56-63</t>
  </si>
  <si>
    <t>15-17</t>
  </si>
  <si>
    <t>35-40</t>
  </si>
  <si>
    <t>46-51</t>
  </si>
  <si>
    <t>18-21</t>
  </si>
  <si>
    <t>42-49</t>
  </si>
  <si>
    <t>24-29</t>
  </si>
  <si>
    <t>56-67</t>
  </si>
  <si>
    <t>25-28</t>
  </si>
  <si>
    <t>58-65</t>
  </si>
  <si>
    <t>19-26</t>
  </si>
  <si>
    <t>44-60</t>
  </si>
  <si>
    <t>20-29</t>
  </si>
  <si>
    <t>46-67</t>
  </si>
  <si>
    <t>22-25</t>
  </si>
  <si>
    <t>51-58</t>
  </si>
  <si>
    <t>19-24</t>
  </si>
  <si>
    <t>44-56</t>
  </si>
  <si>
    <t>44-46</t>
  </si>
  <si>
    <t xml:space="preserve">Users are encouraged to develop their own values based on the actual characteristics of the fuel being combusted. Typical values are only provided as a </t>
  </si>
  <si>
    <t>guideline for the sake of comparison.</t>
  </si>
  <si>
    <t>Default Oxidation Factor Values</t>
  </si>
  <si>
    <t>(Based on GCV or HHV)</t>
  </si>
  <si>
    <t>Fuel/Technology Type</t>
  </si>
  <si>
    <t>IPCC Default</t>
  </si>
  <si>
    <t>91-100%</t>
  </si>
  <si>
    <t>Newer boilers</t>
  </si>
  <si>
    <t>Older boilers</t>
  </si>
  <si>
    <t>Stoker boilers</t>
  </si>
  <si>
    <t>99-100%</t>
  </si>
  <si>
    <t>97.5-100%</t>
  </si>
  <si>
    <t>Gasoline internal combustion engines</t>
  </si>
  <si>
    <t>Diesel internal combustion engines</t>
  </si>
  <si>
    <t>Other combustion equipment</t>
  </si>
  <si>
    <t>90-100%</t>
  </si>
  <si>
    <r>
      <t>a</t>
    </r>
    <r>
      <rPr>
        <sz val="10"/>
        <rFont val="Arial"/>
        <family val="0"/>
      </rPr>
      <t xml:space="preserve"> 99% for electricity generation and &lt;99% for residential and commerical use.</t>
    </r>
  </si>
  <si>
    <r>
      <t>(MJ/kg)</t>
    </r>
    <r>
      <rPr>
        <b/>
        <vertAlign val="superscript"/>
        <sz val="10"/>
        <rFont val="Arial"/>
        <family val="2"/>
      </rPr>
      <t>a</t>
    </r>
  </si>
  <si>
    <r>
      <t>(Thousand Btu/lb)</t>
    </r>
    <r>
      <rPr>
        <b/>
        <vertAlign val="superscript"/>
        <sz val="10"/>
        <rFont val="Arial"/>
        <family val="2"/>
      </rPr>
      <t>a</t>
    </r>
  </si>
  <si>
    <r>
      <t>IPCC Default</t>
    </r>
    <r>
      <rPr>
        <b/>
        <vertAlign val="superscript"/>
        <sz val="10"/>
        <rFont val="Arial"/>
        <family val="2"/>
      </rPr>
      <t>e</t>
    </r>
  </si>
  <si>
    <r>
      <t>varies</t>
    </r>
    <r>
      <rPr>
        <vertAlign val="superscript"/>
        <sz val="8"/>
        <rFont val="Arial"/>
        <family val="2"/>
      </rPr>
      <t>f</t>
    </r>
  </si>
  <si>
    <r>
      <t>Landfill gas</t>
    </r>
    <r>
      <rPr>
        <vertAlign val="superscript"/>
        <sz val="8"/>
        <rFont val="Arial"/>
        <family val="2"/>
      </rPr>
      <t>c</t>
    </r>
  </si>
  <si>
    <r>
      <t>Waste water treatment biogas</t>
    </r>
    <r>
      <rPr>
        <vertAlign val="superscript"/>
        <sz val="8"/>
        <rFont val="Arial"/>
        <family val="2"/>
      </rPr>
      <t>c</t>
    </r>
  </si>
  <si>
    <r>
      <t>c</t>
    </r>
    <r>
      <rPr>
        <sz val="10"/>
        <rFont val="Arial"/>
        <family val="0"/>
      </rPr>
      <t xml:space="preserve"> Value can be significantly effected by fraction of air, CO</t>
    </r>
    <r>
      <rPr>
        <vertAlign val="subscript"/>
        <sz val="10"/>
        <rFont val="Arial"/>
        <family val="2"/>
      </rPr>
      <t>2</t>
    </r>
    <r>
      <rPr>
        <sz val="10"/>
        <rFont val="Arial"/>
        <family val="0"/>
      </rPr>
      <t>, and moisture in gas.</t>
    </r>
  </si>
  <si>
    <r>
      <t>d</t>
    </r>
    <r>
      <rPr>
        <sz val="10"/>
        <rFont val="Arial"/>
        <family val="0"/>
      </rPr>
      <t xml:space="preserve"> Gross calorific (higher heating) values have been used because they are more closely related to the carbon content of fuels than net calorific (lower heating) values.</t>
    </r>
  </si>
  <si>
    <r>
      <t>e</t>
    </r>
    <r>
      <rPr>
        <sz val="10"/>
        <rFont val="Arial"/>
        <family val="0"/>
      </rPr>
      <t xml:space="preserve"> IPCC default values have been converted from NCV (LHV) to GCV (HHV) using rule of thumb.</t>
    </r>
  </si>
  <si>
    <r>
      <t>f</t>
    </r>
    <r>
      <rPr>
        <sz val="10"/>
        <rFont val="Arial"/>
        <family val="0"/>
      </rPr>
      <t xml:space="preserve"> See Table 1-13 in the Revised IPCC 1996 Guidelines, p. 1.45 for values of various biomass fuels on a NCV basis, including moisture contents.</t>
    </r>
  </si>
  <si>
    <r>
      <t>Gaseous (kg/m</t>
    </r>
    <r>
      <rPr>
        <b/>
        <vertAlign val="superscript"/>
        <sz val="10"/>
        <rFont val="Arial"/>
        <family val="2"/>
      </rPr>
      <t>3</t>
    </r>
    <r>
      <rPr>
        <b/>
        <sz val="10"/>
        <rFont val="Arial"/>
        <family val="0"/>
      </rPr>
      <t>)</t>
    </r>
    <r>
      <rPr>
        <b/>
        <vertAlign val="superscript"/>
        <sz val="10"/>
        <rFont val="Arial"/>
        <family val="2"/>
      </rPr>
      <t>a,b</t>
    </r>
  </si>
  <si>
    <r>
      <t>Liquid (kg/L)</t>
    </r>
    <r>
      <rPr>
        <b/>
        <vertAlign val="superscript"/>
        <sz val="10"/>
        <rFont val="Arial"/>
        <family val="2"/>
      </rPr>
      <t>b</t>
    </r>
  </si>
  <si>
    <r>
      <t>Gaseous (lb/ft</t>
    </r>
    <r>
      <rPr>
        <b/>
        <vertAlign val="superscript"/>
        <sz val="10"/>
        <rFont val="Arial"/>
        <family val="2"/>
      </rPr>
      <t>3</t>
    </r>
    <r>
      <rPr>
        <b/>
        <sz val="10"/>
        <rFont val="Arial"/>
        <family val="0"/>
      </rPr>
      <t>)</t>
    </r>
    <r>
      <rPr>
        <b/>
        <vertAlign val="superscript"/>
        <sz val="10"/>
        <rFont val="Arial"/>
        <family val="2"/>
      </rPr>
      <t>a,b</t>
    </r>
  </si>
  <si>
    <r>
      <t>Liquid (lb/gal)</t>
    </r>
    <r>
      <rPr>
        <b/>
        <vertAlign val="superscript"/>
        <sz val="10"/>
        <rFont val="Arial"/>
        <family val="2"/>
      </rPr>
      <t>b</t>
    </r>
  </si>
  <si>
    <r>
      <t>Natural gas-based fuels</t>
    </r>
    <r>
      <rPr>
        <b/>
        <vertAlign val="superscript"/>
        <sz val="8"/>
        <rFont val="Arial"/>
        <family val="2"/>
      </rPr>
      <t>c</t>
    </r>
  </si>
  <si>
    <r>
      <t>a</t>
    </r>
    <r>
      <rPr>
        <sz val="10"/>
        <rFont val="Arial"/>
        <family val="0"/>
      </rPr>
      <t xml:space="preserve"> Density values are highly sensitive to changes in temperature and pressure.  Values indicated are based on room temperature and standard atmospheric pressure.</t>
    </r>
  </si>
  <si>
    <r>
      <t>b</t>
    </r>
    <r>
      <rPr>
        <sz val="10"/>
        <rFont val="Arial"/>
        <family val="0"/>
      </rPr>
      <t xml:space="preserve"> Dry unless otherwise noted. </t>
    </r>
  </si>
  <si>
    <r>
      <t>c</t>
    </r>
    <r>
      <rPr>
        <sz val="10"/>
        <rFont val="Arial"/>
        <family val="0"/>
      </rPr>
      <t xml:space="preserve"> At room temperature and standard atmospheric pressure.</t>
    </r>
  </si>
  <si>
    <r>
      <t>a</t>
    </r>
    <r>
      <rPr>
        <sz val="10"/>
        <rFont val="Arial"/>
        <family val="0"/>
      </rPr>
      <t xml:space="preserve"> Dry unless otherwise noted.</t>
    </r>
  </si>
  <si>
    <r>
      <t>b</t>
    </r>
    <r>
      <rPr>
        <sz val="10"/>
        <rFont val="Arial"/>
        <family val="0"/>
      </rPr>
      <t xml:space="preserve"> Value can be significantly effected by moisture content of fuel</t>
    </r>
  </si>
  <si>
    <r>
      <t>c</t>
    </r>
    <r>
      <rPr>
        <sz val="10"/>
        <rFont val="Arial"/>
        <family val="0"/>
      </rPr>
      <t xml:space="preserve"> Value can be effected by fraction of air, CO</t>
    </r>
    <r>
      <rPr>
        <vertAlign val="subscript"/>
        <sz val="10"/>
        <rFont val="Arial"/>
        <family val="2"/>
      </rPr>
      <t>2</t>
    </r>
    <r>
      <rPr>
        <sz val="10"/>
        <rFont val="Arial"/>
        <family val="0"/>
      </rPr>
      <t>, and moisture in gas.</t>
    </r>
  </si>
  <si>
    <r>
      <t>99%</t>
    </r>
    <r>
      <rPr>
        <vertAlign val="superscript"/>
        <sz val="8"/>
        <rFont val="Arial"/>
        <family val="2"/>
      </rPr>
      <t>a</t>
    </r>
  </si>
  <si>
    <t>IPCC Tier 1 Uncontrolled Stationary Sources</t>
  </si>
  <si>
    <t>Fuel Type / Sector</t>
  </si>
  <si>
    <t xml:space="preserve"> (kg/GJ)*</t>
  </si>
  <si>
    <t>(lb/Million Btu)</t>
  </si>
  <si>
    <t xml:space="preserve"> (kg/GJ)</t>
  </si>
  <si>
    <t>Energy Industries</t>
  </si>
  <si>
    <t>Manufacturing industries and construction</t>
  </si>
  <si>
    <t>Commercial/Institutional</t>
  </si>
  <si>
    <t>Residential</t>
  </si>
  <si>
    <t>Agriculture/Forestry/Fishing</t>
  </si>
  <si>
    <t>Petroluem (Oil)</t>
  </si>
  <si>
    <t>Wood and wood waste</t>
  </si>
  <si>
    <t>Charcoal</t>
  </si>
  <si>
    <t>Other biomass and wastes</t>
  </si>
  <si>
    <t xml:space="preserve">*When converting units, it may be necessary to increase the number of significant digits to ensure accuracy in </t>
  </si>
  <si>
    <t xml:space="preserve">the calculations. </t>
  </si>
  <si>
    <t>References:</t>
  </si>
  <si>
    <t>Values have been adjusted to GCV from NCV basis using "rule of thumb."</t>
  </si>
  <si>
    <r>
      <t>CH</t>
    </r>
    <r>
      <rPr>
        <b/>
        <vertAlign val="subscript"/>
        <sz val="10"/>
        <rFont val="Arial"/>
        <family val="2"/>
      </rPr>
      <t>4</t>
    </r>
  </si>
  <si>
    <r>
      <t>N</t>
    </r>
    <r>
      <rPr>
        <b/>
        <vertAlign val="subscript"/>
        <sz val="10"/>
        <rFont val="Arial"/>
        <family val="2"/>
      </rPr>
      <t>2</t>
    </r>
    <r>
      <rPr>
        <b/>
        <sz val="10"/>
        <rFont val="Arial"/>
        <family val="0"/>
      </rPr>
      <t>O</t>
    </r>
  </si>
  <si>
    <r>
      <t xml:space="preserve">Default values are based on Tier 1 </t>
    </r>
    <r>
      <rPr>
        <u val="single"/>
        <sz val="10"/>
        <rFont val="Arial"/>
        <family val="2"/>
      </rPr>
      <t>Uncontrolled</t>
    </r>
    <r>
      <rPr>
        <sz val="10"/>
        <rFont val="Arial"/>
        <family val="0"/>
      </rPr>
      <t xml:space="preserve"> values from the Revised 1996 IPCC Guidelines (Tables 1-7 and 1-8).  </t>
    </r>
  </si>
  <si>
    <r>
      <t>Further information on more technology and fuel-specific emission factors can be found in the various IPCC guidelines reports,</t>
    </r>
    <r>
      <rPr>
        <vertAlign val="superscript"/>
        <sz val="10"/>
        <rFont val="Arial"/>
        <family val="2"/>
      </rPr>
      <t>[1]</t>
    </r>
    <r>
      <rPr>
        <sz val="10"/>
        <rFont val="Arial"/>
        <family val="0"/>
      </rPr>
      <t xml:space="preserve"> </t>
    </r>
  </si>
  <si>
    <r>
      <t>the IPCC Emission Factor Database,</t>
    </r>
    <r>
      <rPr>
        <vertAlign val="superscript"/>
        <sz val="10"/>
        <rFont val="Arial"/>
        <family val="2"/>
      </rPr>
      <t>[2]</t>
    </r>
    <r>
      <rPr>
        <sz val="10"/>
        <rFont val="Arial"/>
        <family val="0"/>
      </rPr>
      <t xml:space="preserve"> U.S. EPA’s AP-42,</t>
    </r>
    <r>
      <rPr>
        <vertAlign val="superscript"/>
        <sz val="10"/>
        <rFont val="Arial"/>
        <family val="2"/>
      </rPr>
      <t>[3]</t>
    </r>
    <r>
      <rPr>
        <sz val="10"/>
        <rFont val="Arial"/>
        <family val="0"/>
      </rPr>
      <t xml:space="preserve"> and </t>
    </r>
  </si>
  <si>
    <r>
      <t>the European Environment Agency’s EMEP/Corinair Emission Inventory Guidebook.</t>
    </r>
    <r>
      <rPr>
        <vertAlign val="superscript"/>
        <sz val="10"/>
        <rFont val="Arial"/>
        <family val="2"/>
      </rPr>
      <t>[4]</t>
    </r>
  </si>
  <si>
    <r>
      <t>[1]</t>
    </r>
    <r>
      <rPr>
        <sz val="10"/>
        <rFont val="Arial"/>
        <family val="0"/>
      </rPr>
      <t xml:space="preserve"> See http://www.ipcc.ch/pub/guide.htm</t>
    </r>
  </si>
  <si>
    <r>
      <t>[2]</t>
    </r>
    <r>
      <rPr>
        <sz val="10"/>
        <rFont val="Arial"/>
        <family val="0"/>
      </rPr>
      <t xml:space="preserve"> See http://www.ipcc-nggip.iges.or.jp/EFDB/main.php</t>
    </r>
  </si>
  <si>
    <r>
      <t>[3]</t>
    </r>
    <r>
      <rPr>
        <sz val="10"/>
        <rFont val="Arial"/>
        <family val="0"/>
      </rPr>
      <t xml:space="preserve"> U.S. EPA Compilation of Air Pollutant Emission Factors, Vol. 1: Stationary Point and Areas Sources.  http://www.epa.gov/ttn/chief/ap42/index.html</t>
    </r>
  </si>
  <si>
    <r>
      <t>[4]</t>
    </r>
    <r>
      <rPr>
        <sz val="10"/>
        <rFont val="Arial"/>
        <family val="0"/>
      </rPr>
      <t xml:space="preserve"> EMEP/CORINAIR Emission Inventory Guidebook - 3rd edition September 2004.  http://reports.eea.eu.int/EMEPCORINAIR4/en</t>
    </r>
  </si>
  <si>
    <t>Purchased Electricity</t>
  </si>
  <si>
    <t>Coal Type</t>
  </si>
  <si>
    <t>Technology Type</t>
  </si>
  <si>
    <t>Natural Gas Type</t>
  </si>
  <si>
    <t>Other Fuel Type</t>
  </si>
  <si>
    <t>Petroleum</t>
  </si>
  <si>
    <t>Petroleum Type</t>
  </si>
  <si>
    <t>Biomass Fuel Type</t>
  </si>
  <si>
    <r>
      <t>Emissions (kg CO</t>
    </r>
    <r>
      <rPr>
        <vertAlign val="subscript"/>
        <sz val="10"/>
        <rFont val="Verdana"/>
        <family val="2"/>
      </rPr>
      <t>2</t>
    </r>
    <r>
      <rPr>
        <sz val="10"/>
        <rFont val="Verdana"/>
        <family val="2"/>
      </rPr>
      <t>)</t>
    </r>
  </si>
  <si>
    <t>Fuel Consumed (kg)</t>
  </si>
  <si>
    <t>Heat/Calorific Value of Fuel (GJ/kg)</t>
  </si>
  <si>
    <t>Input Cell</t>
  </si>
  <si>
    <t>Oxidation Factor</t>
  </si>
  <si>
    <t>Carbon Content Factor (kg C/GJ)</t>
  </si>
  <si>
    <r>
      <t>Emissions (MTCO</t>
    </r>
    <r>
      <rPr>
        <vertAlign val="subscript"/>
        <sz val="10"/>
        <rFont val="Verdana"/>
        <family val="2"/>
      </rPr>
      <t>2</t>
    </r>
    <r>
      <rPr>
        <sz val="10"/>
        <rFont val="Verdana"/>
        <family val="2"/>
      </rPr>
      <t>)</t>
    </r>
  </si>
  <si>
    <r>
      <t>CO</t>
    </r>
    <r>
      <rPr>
        <vertAlign val="subscript"/>
        <sz val="10"/>
        <rFont val="Verdana"/>
        <family val="2"/>
      </rPr>
      <t>2</t>
    </r>
    <r>
      <rPr>
        <sz val="10"/>
        <rFont val="Verdana"/>
        <family val="2"/>
      </rPr>
      <t xml:space="preserve"> Emissions</t>
    </r>
  </si>
  <si>
    <r>
      <t>Non-CO</t>
    </r>
    <r>
      <rPr>
        <vertAlign val="subscript"/>
        <sz val="10"/>
        <rFont val="Verdana"/>
        <family val="2"/>
      </rPr>
      <t>2</t>
    </r>
    <r>
      <rPr>
        <sz val="10"/>
        <rFont val="Verdana"/>
        <family val="2"/>
      </rPr>
      <t xml:space="preserve"> Emissions</t>
    </r>
  </si>
  <si>
    <t>1.</t>
  </si>
  <si>
    <t>2.</t>
  </si>
  <si>
    <t>3.</t>
  </si>
  <si>
    <t>4.</t>
  </si>
  <si>
    <t>5.</t>
  </si>
  <si>
    <r>
      <t>CH</t>
    </r>
    <r>
      <rPr>
        <vertAlign val="subscript"/>
        <sz val="10"/>
        <rFont val="Verdana"/>
        <family val="2"/>
      </rPr>
      <t>4</t>
    </r>
    <r>
      <rPr>
        <sz val="10"/>
        <rFont val="Verdana"/>
        <family val="2"/>
      </rPr>
      <t xml:space="preserve"> Emission Factor (kg/GJ)</t>
    </r>
  </si>
  <si>
    <r>
      <t>N</t>
    </r>
    <r>
      <rPr>
        <vertAlign val="subscript"/>
        <sz val="10"/>
        <rFont val="Verdana"/>
        <family val="2"/>
      </rPr>
      <t>2</t>
    </r>
    <r>
      <rPr>
        <sz val="10"/>
        <rFont val="Verdana"/>
        <family val="2"/>
      </rPr>
      <t>O Emission Factor (kg/GJ)</t>
    </r>
  </si>
  <si>
    <r>
      <t>CH</t>
    </r>
    <r>
      <rPr>
        <vertAlign val="subscript"/>
        <sz val="10"/>
        <rFont val="Verdana"/>
        <family val="2"/>
      </rPr>
      <t>4</t>
    </r>
    <r>
      <rPr>
        <sz val="10"/>
        <rFont val="Verdana"/>
        <family val="2"/>
      </rPr>
      <t xml:space="preserve"> Emissions (kg CH</t>
    </r>
    <r>
      <rPr>
        <vertAlign val="subscript"/>
        <sz val="10"/>
        <rFont val="Verdana"/>
        <family val="2"/>
      </rPr>
      <t>4</t>
    </r>
    <r>
      <rPr>
        <sz val="10"/>
        <rFont val="Verdana"/>
        <family val="2"/>
      </rPr>
      <t>)</t>
    </r>
  </si>
  <si>
    <r>
      <t>N</t>
    </r>
    <r>
      <rPr>
        <vertAlign val="subscript"/>
        <sz val="10"/>
        <rFont val="Verdana"/>
        <family val="2"/>
      </rPr>
      <t>2</t>
    </r>
    <r>
      <rPr>
        <sz val="10"/>
        <rFont val="Verdana"/>
        <family val="2"/>
      </rPr>
      <t>O Emissions (kg N</t>
    </r>
    <r>
      <rPr>
        <vertAlign val="subscript"/>
        <sz val="10"/>
        <rFont val="Verdana"/>
        <family val="2"/>
      </rPr>
      <t>2</t>
    </r>
    <r>
      <rPr>
        <sz val="10"/>
        <rFont val="Verdana"/>
        <family val="2"/>
      </rPr>
      <t>O)</t>
    </r>
  </si>
  <si>
    <r>
      <t>Emissions 
(kg CO</t>
    </r>
    <r>
      <rPr>
        <vertAlign val="subscript"/>
        <sz val="10"/>
        <rFont val="Verdana"/>
        <family val="2"/>
      </rPr>
      <t>2</t>
    </r>
    <r>
      <rPr>
        <sz val="10"/>
        <rFont val="Verdana"/>
        <family val="2"/>
      </rPr>
      <t>)</t>
    </r>
  </si>
  <si>
    <r>
      <t>CH</t>
    </r>
    <r>
      <rPr>
        <vertAlign val="subscript"/>
        <sz val="10"/>
        <rFont val="Verdana"/>
        <family val="2"/>
      </rPr>
      <t>4</t>
    </r>
    <r>
      <rPr>
        <sz val="10"/>
        <rFont val="Verdana"/>
        <family val="2"/>
      </rPr>
      <t xml:space="preserve"> Emissions (MTCO</t>
    </r>
    <r>
      <rPr>
        <vertAlign val="subscript"/>
        <sz val="10"/>
        <rFont val="Verdana"/>
        <family val="2"/>
      </rPr>
      <t xml:space="preserve">2 </t>
    </r>
    <r>
      <rPr>
        <sz val="10"/>
        <rFont val="Verdana"/>
        <family val="2"/>
      </rPr>
      <t>Eq.)</t>
    </r>
  </si>
  <si>
    <r>
      <t>N</t>
    </r>
    <r>
      <rPr>
        <vertAlign val="subscript"/>
        <sz val="10"/>
        <rFont val="Verdana"/>
        <family val="2"/>
      </rPr>
      <t>2</t>
    </r>
    <r>
      <rPr>
        <sz val="10"/>
        <rFont val="Verdana"/>
        <family val="2"/>
      </rPr>
      <t>O Emissions (MTCO</t>
    </r>
    <r>
      <rPr>
        <vertAlign val="subscript"/>
        <sz val="10"/>
        <rFont val="Verdana"/>
        <family val="2"/>
      </rPr>
      <t xml:space="preserve">2 </t>
    </r>
    <r>
      <rPr>
        <sz val="10"/>
        <rFont val="Verdana"/>
        <family val="2"/>
      </rPr>
      <t>Eq.)</t>
    </r>
  </si>
  <si>
    <t>OR</t>
  </si>
  <si>
    <t>Mobile Combustion</t>
  </si>
  <si>
    <t>6.</t>
  </si>
  <si>
    <t>7.</t>
  </si>
  <si>
    <t>8.</t>
  </si>
  <si>
    <t>9.</t>
  </si>
  <si>
    <t>10.</t>
  </si>
  <si>
    <t>11.</t>
  </si>
  <si>
    <t>12.</t>
  </si>
  <si>
    <t>13.</t>
  </si>
  <si>
    <t>14.</t>
  </si>
  <si>
    <t>15.</t>
  </si>
  <si>
    <t>16.</t>
  </si>
  <si>
    <t>17.</t>
  </si>
  <si>
    <t>18.</t>
  </si>
  <si>
    <t>19.</t>
  </si>
  <si>
    <t>20.</t>
  </si>
  <si>
    <t>21.</t>
  </si>
  <si>
    <t>22.</t>
  </si>
  <si>
    <t>23.</t>
  </si>
  <si>
    <t>24.</t>
  </si>
  <si>
    <t>25.</t>
  </si>
  <si>
    <t>Road Transportation</t>
  </si>
  <si>
    <r>
      <t>Carbon Content Factor (kg CO</t>
    </r>
    <r>
      <rPr>
        <vertAlign val="subscript"/>
        <sz val="10"/>
        <rFont val="Verdana"/>
        <family val="2"/>
      </rPr>
      <t>2</t>
    </r>
    <r>
      <rPr>
        <sz val="10"/>
        <rFont val="Verdana"/>
        <family val="2"/>
      </rPr>
      <t>/GJ)</t>
    </r>
  </si>
  <si>
    <t>Heat/Calorific Value of Fuel (GJ/US Gallon)</t>
  </si>
  <si>
    <t>Amount of Fuel Consumed (US Gallons)</t>
  </si>
  <si>
    <t>Water Transportation</t>
  </si>
  <si>
    <t>Individual Completing Inventory:</t>
  </si>
  <si>
    <t>Industrial Refrigeration</t>
  </si>
  <si>
    <t>Domestic</t>
  </si>
  <si>
    <t>Stand-Alone Commercial</t>
  </si>
  <si>
    <t>Medium/Large Commercial</t>
  </si>
  <si>
    <t>Mobile A/C</t>
  </si>
  <si>
    <t>Residential &amp; Commercial A/C</t>
  </si>
  <si>
    <t>Application*</t>
  </si>
  <si>
    <t>explicitly stated as air conditioning (A/C).</t>
  </si>
  <si>
    <t>Number of Units</t>
  </si>
  <si>
    <t>Type Of Refrigerant</t>
  </si>
  <si>
    <t>Refrigerant</t>
  </si>
  <si>
    <t>GWP of Refrigerant</t>
  </si>
  <si>
    <t>Recycling Efficiency (Average percentage of the remainder)</t>
  </si>
  <si>
    <t>*Based on Application Type.</t>
  </si>
  <si>
    <t>Refrigerant Charge (kg)*</t>
  </si>
  <si>
    <t>Source: EPA eGRID2004 Version 2.1 Location (Operator)-Based eGRID Subregion File (Year 2004 Data)</t>
  </si>
  <si>
    <t>Table C.1. Adjusted Electricity Emissions Factors by State</t>
  </si>
  <si>
    <t>http://www.eia.doe.gov/pub/oiaf/1605/cdrom/pdf/gg-app-tables.pdf</t>
  </si>
  <si>
    <t>CH4</t>
  </si>
  <si>
    <t>N2O</t>
  </si>
  <si>
    <t>lbs/MWh</t>
  </si>
  <si>
    <t>kg/kWh</t>
  </si>
  <si>
    <t>State Abb.</t>
  </si>
  <si>
    <t>lb/MWh</t>
  </si>
  <si>
    <t>ALABAMA</t>
  </si>
  <si>
    <t>AL</t>
  </si>
  <si>
    <t>AK</t>
  </si>
  <si>
    <t>Pacific Contiguous</t>
  </si>
  <si>
    <t>ALASKA</t>
  </si>
  <si>
    <t>California</t>
  </si>
  <si>
    <t>AR</t>
  </si>
  <si>
    <t>Oregon</t>
  </si>
  <si>
    <t>ARIZONA</t>
  </si>
  <si>
    <t>AZ</t>
  </si>
  <si>
    <t>Washington</t>
  </si>
  <si>
    <t>ARKANSAS</t>
  </si>
  <si>
    <t>CA</t>
  </si>
  <si>
    <t>Pacific Non-Contiguous</t>
  </si>
  <si>
    <t>CALIFORNIA</t>
  </si>
  <si>
    <t>CO</t>
  </si>
  <si>
    <t>Alaska</t>
  </si>
  <si>
    <t>COLORADO</t>
  </si>
  <si>
    <t>CT</t>
  </si>
  <si>
    <t>Hawaii</t>
  </si>
  <si>
    <t>CONNECTICUT</t>
  </si>
  <si>
    <t>DC</t>
  </si>
  <si>
    <t>Mountain</t>
  </si>
  <si>
    <t>DELAWARE</t>
  </si>
  <si>
    <t>DE</t>
  </si>
  <si>
    <t>Arizona</t>
  </si>
  <si>
    <t>DISTRICT OF COLUMBIA</t>
  </si>
  <si>
    <t>FL</t>
  </si>
  <si>
    <t>Colorado</t>
  </si>
  <si>
    <t>GA</t>
  </si>
  <si>
    <t>Idaho</t>
  </si>
  <si>
    <t>FLORIDA</t>
  </si>
  <si>
    <t>HI</t>
  </si>
  <si>
    <t>Montana</t>
  </si>
  <si>
    <t>GEORGIA</t>
  </si>
  <si>
    <t>IA</t>
  </si>
  <si>
    <t>Nevada</t>
  </si>
  <si>
    <t>ID</t>
  </si>
  <si>
    <t>New Mexico</t>
  </si>
  <si>
    <t>HAWAII</t>
  </si>
  <si>
    <t>IL</t>
  </si>
  <si>
    <t>Utah</t>
  </si>
  <si>
    <t>IDAHO</t>
  </si>
  <si>
    <t>IN</t>
  </si>
  <si>
    <t>Wyoming</t>
  </si>
  <si>
    <t>ILLINOIS</t>
  </si>
  <si>
    <t>KS</t>
  </si>
  <si>
    <t>West-North Central</t>
  </si>
  <si>
    <t>INDIANA</t>
  </si>
  <si>
    <t>KY</t>
  </si>
  <si>
    <t>Iowa</t>
  </si>
  <si>
    <t>IOWA</t>
  </si>
  <si>
    <t>LA</t>
  </si>
  <si>
    <t>Kansas</t>
  </si>
  <si>
    <t>KANSAS</t>
  </si>
  <si>
    <t>MA</t>
  </si>
  <si>
    <t>Minnesota</t>
  </si>
  <si>
    <t>KENTUCKY</t>
  </si>
  <si>
    <t>MD</t>
  </si>
  <si>
    <t>Missouri</t>
  </si>
  <si>
    <t>LOUISIANA</t>
  </si>
  <si>
    <t>ME</t>
  </si>
  <si>
    <t>Nebraska</t>
  </si>
  <si>
    <t>MAINE</t>
  </si>
  <si>
    <t>MI</t>
  </si>
  <si>
    <t>North Dakota</t>
  </si>
  <si>
    <t>MN</t>
  </si>
  <si>
    <t>South Dakota</t>
  </si>
  <si>
    <t>MARYLAND</t>
  </si>
  <si>
    <t>MO</t>
  </si>
  <si>
    <t>West-South Central</t>
  </si>
  <si>
    <t>MASSACHUSETTS</t>
  </si>
  <si>
    <t>MS</t>
  </si>
  <si>
    <t>Arkansas</t>
  </si>
  <si>
    <t>MICHIGAN</t>
  </si>
  <si>
    <t>MT</t>
  </si>
  <si>
    <t>Louisiana</t>
  </si>
  <si>
    <t>MINNESOTA</t>
  </si>
  <si>
    <t>NC</t>
  </si>
  <si>
    <t>Oklahoma</t>
  </si>
  <si>
    <t>MISSISSIPPI</t>
  </si>
  <si>
    <t>ND</t>
  </si>
  <si>
    <t>Texas</t>
  </si>
  <si>
    <t>MISSOURI</t>
  </si>
  <si>
    <t>NE</t>
  </si>
  <si>
    <t>East-North Central</t>
  </si>
  <si>
    <t>MONTANA</t>
  </si>
  <si>
    <t>NH</t>
  </si>
  <si>
    <t>Illinois</t>
  </si>
  <si>
    <t>NEBRASKA</t>
  </si>
  <si>
    <t>NJ</t>
  </si>
  <si>
    <t>Indiana</t>
  </si>
  <si>
    <t>NEVADA</t>
  </si>
  <si>
    <t>NV</t>
  </si>
  <si>
    <t>NM</t>
  </si>
  <si>
    <t>Michigan</t>
  </si>
  <si>
    <t>NEW HAMPSHIRE</t>
  </si>
  <si>
    <t>Ohio</t>
  </si>
  <si>
    <t>NEW JERSEY</t>
  </si>
  <si>
    <t>NY</t>
  </si>
  <si>
    <t>Wisconsin</t>
  </si>
  <si>
    <t>NEW MEXICO</t>
  </si>
  <si>
    <t>OH</t>
  </si>
  <si>
    <t>East-South</t>
  </si>
  <si>
    <t>NEW YORK</t>
  </si>
  <si>
    <t>OK</t>
  </si>
  <si>
    <t>Alabama</t>
  </si>
  <si>
    <t>NORTH CAROLINA</t>
  </si>
  <si>
    <t>Kentucky</t>
  </si>
  <si>
    <t>NORTH DAKOTA</t>
  </si>
  <si>
    <t>PA</t>
  </si>
  <si>
    <t>Mississippi</t>
  </si>
  <si>
    <t>RI</t>
  </si>
  <si>
    <t>Tennessee</t>
  </si>
  <si>
    <t>OHIO</t>
  </si>
  <si>
    <t>SC</t>
  </si>
  <si>
    <t>New England</t>
  </si>
  <si>
    <t>OKLAHOMA</t>
  </si>
  <si>
    <t>SD</t>
  </si>
  <si>
    <t>Connecticut</t>
  </si>
  <si>
    <t>OREGON</t>
  </si>
  <si>
    <t>TN</t>
  </si>
  <si>
    <t>Maine</t>
  </si>
  <si>
    <t>PALAU</t>
  </si>
  <si>
    <t>PW</t>
  </si>
  <si>
    <t>TX</t>
  </si>
  <si>
    <t>Massachusetts</t>
  </si>
  <si>
    <t>PENNSYLVANIA</t>
  </si>
  <si>
    <t>UT</t>
  </si>
  <si>
    <t>New Hampshire</t>
  </si>
  <si>
    <t>PUERTO RICO</t>
  </si>
  <si>
    <t>PR</t>
  </si>
  <si>
    <t>VA</t>
  </si>
  <si>
    <t>Rhode Island</t>
  </si>
  <si>
    <t>RHODE ISLAND</t>
  </si>
  <si>
    <t>VT</t>
  </si>
  <si>
    <t>Vermont</t>
  </si>
  <si>
    <t>SOUTH CAROLINA</t>
  </si>
  <si>
    <t>WA</t>
  </si>
  <si>
    <t>Mid Atlantic</t>
  </si>
  <si>
    <t>SOUTH DAKOTA</t>
  </si>
  <si>
    <t>WI</t>
  </si>
  <si>
    <t>New Jersey</t>
  </si>
  <si>
    <t>TENNESSEE</t>
  </si>
  <si>
    <t>WV</t>
  </si>
  <si>
    <t>New York</t>
  </si>
  <si>
    <t>TEXAS</t>
  </si>
  <si>
    <t>WY</t>
  </si>
  <si>
    <t>Pennsylvania</t>
  </si>
  <si>
    <t>UTAH</t>
  </si>
  <si>
    <t>South Atlantic</t>
  </si>
  <si>
    <t>VERMONT</t>
  </si>
  <si>
    <t>average</t>
  </si>
  <si>
    <t>Delaware</t>
  </si>
  <si>
    <t>Florida</t>
  </si>
  <si>
    <t>VIRGINIA</t>
  </si>
  <si>
    <t>WASHINGTON</t>
  </si>
  <si>
    <t>Maryland</t>
  </si>
  <si>
    <t>WEST VIRGINIA</t>
  </si>
  <si>
    <t>North Carolina</t>
  </si>
  <si>
    <t>WISCONSIN</t>
  </si>
  <si>
    <t>South Carolina</t>
  </si>
  <si>
    <t>WYOMING</t>
  </si>
  <si>
    <t>Virginia</t>
  </si>
  <si>
    <t>West Virginia</t>
  </si>
  <si>
    <r>
      <t xml:space="preserve"> </t>
    </r>
    <r>
      <rPr>
        <b/>
        <sz val="10"/>
        <color indexed="8"/>
        <rFont val="Arial"/>
        <family val="2"/>
      </rPr>
      <t xml:space="preserve">CO2 </t>
    </r>
    <r>
      <rPr>
        <b/>
        <sz val="10"/>
        <rFont val="Arial"/>
        <family val="2"/>
      </rPr>
      <t xml:space="preserve"> </t>
    </r>
  </si>
  <si>
    <r>
      <t xml:space="preserve"> </t>
    </r>
    <r>
      <rPr>
        <b/>
        <sz val="8.8"/>
        <color indexed="8"/>
        <rFont val="Arial"/>
        <family val="0"/>
      </rPr>
      <t xml:space="preserve">State </t>
    </r>
    <r>
      <rPr>
        <sz val="10"/>
        <rFont val="Arial"/>
        <family val="0"/>
      </rPr>
      <t xml:space="preserve"> </t>
    </r>
  </si>
  <si>
    <t>1 lb/MWh =</t>
  </si>
  <si>
    <t>Default Data or Emission Factor</t>
  </si>
  <si>
    <t>Annual Leakage Rate (%)</t>
  </si>
  <si>
    <t>Emissions (kg of CO2 equivalent/yr)</t>
  </si>
  <si>
    <t>State</t>
  </si>
  <si>
    <t>NA</t>
  </si>
  <si>
    <t>Total Emissions</t>
  </si>
  <si>
    <r>
      <t>CO</t>
    </r>
    <r>
      <rPr>
        <b/>
        <vertAlign val="subscript"/>
        <sz val="10"/>
        <rFont val="Verdana"/>
        <family val="2"/>
      </rPr>
      <t>2</t>
    </r>
  </si>
  <si>
    <r>
      <t>CH</t>
    </r>
    <r>
      <rPr>
        <b/>
        <vertAlign val="subscript"/>
        <sz val="10"/>
        <rFont val="Verdana"/>
        <family val="2"/>
      </rPr>
      <t>4</t>
    </r>
  </si>
  <si>
    <r>
      <t>N</t>
    </r>
    <r>
      <rPr>
        <b/>
        <vertAlign val="subscript"/>
        <sz val="10"/>
        <rFont val="Verdana"/>
        <family val="2"/>
      </rPr>
      <t>2</t>
    </r>
    <r>
      <rPr>
        <b/>
        <sz val="10"/>
        <rFont val="Verdana"/>
        <family val="2"/>
      </rPr>
      <t>O</t>
    </r>
  </si>
  <si>
    <t>*The application type is a refrigerator unless</t>
  </si>
  <si>
    <t>1a.</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</si>
  <si>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</si>
  <si>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</si>
  <si>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</si>
  <si>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</si>
  <si>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</si>
  <si>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</si>
  <si>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</si>
  <si>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</si>
  <si>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</si>
  <si>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</si>
  <si>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</si>
  <si>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</si>
  <si>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</si>
  <si>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</si>
  <si>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</si>
  <si>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</si>
  <si>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</si>
  <si>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</si>
  <si>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</si>
  <si>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</si>
  <si>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</si>
  <si>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</si>
  <si>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</si>
  <si>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</si>
  <si>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Greenhouse Gas Emission Estimate</t>
  </si>
  <si>
    <t>Waste water treatment biogas</t>
  </si>
  <si>
    <t>Fuel Consumed (gallons)</t>
  </si>
  <si>
    <t xml:space="preserve"> gallons (gal)</t>
  </si>
  <si>
    <t>Fuel Consumed (cubic feet)</t>
  </si>
  <si>
    <r>
      <t xml:space="preserve">cubic meters (m </t>
    </r>
    <r>
      <rPr>
        <vertAlign val="superscript"/>
        <sz val="11"/>
        <rFont val="Arial"/>
        <family val="2"/>
      </rPr>
      <t>3</t>
    </r>
    <r>
      <rPr>
        <sz val="11"/>
        <rFont val="Arial"/>
        <family val="2"/>
      </rPr>
      <t>)</t>
    </r>
  </si>
  <si>
    <t>Other Emissions</t>
  </si>
  <si>
    <t>A space is provided to the left of each table to enter the name of the source of these emissions.</t>
  </si>
  <si>
    <t>Calculated Emissions</t>
  </si>
  <si>
    <r>
      <t>Metric Tons of Carbon Dioxide Equivalent (MTCO</t>
    </r>
    <r>
      <rPr>
        <vertAlign val="subscript"/>
        <sz val="10"/>
        <rFont val="Verdana"/>
        <family val="2"/>
      </rPr>
      <t>2</t>
    </r>
    <r>
      <rPr>
        <sz val="10"/>
        <rFont val="Verdana"/>
        <family val="2"/>
      </rPr>
      <t xml:space="preserve"> Eq.)</t>
    </r>
  </si>
  <si>
    <r>
      <t>CO</t>
    </r>
    <r>
      <rPr>
        <vertAlign val="subscript"/>
        <sz val="10"/>
        <rFont val="Verdana"/>
        <family val="2"/>
      </rPr>
      <t>2</t>
    </r>
  </si>
  <si>
    <r>
      <t>CH</t>
    </r>
    <r>
      <rPr>
        <vertAlign val="subscript"/>
        <sz val="10"/>
        <rFont val="Verdana"/>
        <family val="2"/>
      </rPr>
      <t>4</t>
    </r>
  </si>
  <si>
    <r>
      <t>N</t>
    </r>
    <r>
      <rPr>
        <vertAlign val="subscript"/>
        <sz val="10"/>
        <rFont val="Verdana"/>
        <family val="2"/>
      </rPr>
      <t>2</t>
    </r>
    <r>
      <rPr>
        <sz val="10"/>
        <rFont val="Verdana"/>
        <family val="2"/>
      </rPr>
      <t>O</t>
    </r>
  </si>
  <si>
    <t>Stationary Combustion</t>
  </si>
  <si>
    <r>
      <t>Default Emission Factor (kg CO</t>
    </r>
    <r>
      <rPr>
        <vertAlign val="subscript"/>
        <sz val="10"/>
        <rFont val="Verdana"/>
        <family val="2"/>
      </rPr>
      <t>2</t>
    </r>
    <r>
      <rPr>
        <sz val="10"/>
        <rFont val="Verdana"/>
        <family val="2"/>
      </rPr>
      <t>/kWh)</t>
    </r>
  </si>
  <si>
    <r>
      <t>Alternate Emission Factor (kg CO</t>
    </r>
    <r>
      <rPr>
        <vertAlign val="subscript"/>
        <sz val="10"/>
        <rFont val="Verdana"/>
        <family val="2"/>
      </rPr>
      <t>2</t>
    </r>
    <r>
      <rPr>
        <sz val="10"/>
        <rFont val="Verdana"/>
        <family val="2"/>
      </rPr>
      <t>/kWh)</t>
    </r>
  </si>
  <si>
    <r>
      <t>Selected Emission Factor (kg CO</t>
    </r>
    <r>
      <rPr>
        <vertAlign val="subscript"/>
        <sz val="10"/>
        <rFont val="Verdana"/>
        <family val="2"/>
      </rPr>
      <t>2</t>
    </r>
    <r>
      <rPr>
        <sz val="10"/>
        <rFont val="Verdana"/>
        <family val="2"/>
      </rPr>
      <t>/kWh)</t>
    </r>
  </si>
  <si>
    <r>
      <t>Emission Factor 
(kg CH</t>
    </r>
    <r>
      <rPr>
        <vertAlign val="subscript"/>
        <sz val="10"/>
        <rFont val="Verdana"/>
        <family val="2"/>
      </rPr>
      <t>4</t>
    </r>
    <r>
      <rPr>
        <sz val="10"/>
        <rFont val="Verdana"/>
        <family val="2"/>
      </rPr>
      <t>/kWh)</t>
    </r>
  </si>
  <si>
    <r>
      <t>Emission Factor 
(kg CO</t>
    </r>
    <r>
      <rPr>
        <vertAlign val="subscript"/>
        <sz val="10"/>
        <rFont val="Verdana"/>
        <family val="2"/>
      </rPr>
      <t>2</t>
    </r>
    <r>
      <rPr>
        <sz val="10"/>
        <rFont val="Verdana"/>
        <family val="2"/>
      </rPr>
      <t>/kWh)</t>
    </r>
  </si>
  <si>
    <r>
      <t>Emission Factor 
(kg N</t>
    </r>
    <r>
      <rPr>
        <vertAlign val="subscript"/>
        <sz val="10"/>
        <rFont val="Verdana"/>
        <family val="2"/>
      </rPr>
      <t>2</t>
    </r>
    <r>
      <rPr>
        <sz val="10"/>
        <rFont val="Verdana"/>
        <family val="2"/>
      </rPr>
      <t>O/kWh)</t>
    </r>
  </si>
  <si>
    <r>
      <t>CH</t>
    </r>
    <r>
      <rPr>
        <vertAlign val="subscript"/>
        <sz val="10"/>
        <rFont val="Verdana"/>
        <family val="2"/>
      </rPr>
      <t>4</t>
    </r>
    <r>
      <rPr>
        <sz val="10"/>
        <rFont val="Verdana"/>
        <family val="2"/>
      </rPr>
      <t xml:space="preserve"> Emissions 
(kg CH</t>
    </r>
    <r>
      <rPr>
        <vertAlign val="subscript"/>
        <sz val="10"/>
        <rFont val="Verdana"/>
        <family val="2"/>
      </rPr>
      <t>4</t>
    </r>
    <r>
      <rPr>
        <sz val="10"/>
        <rFont val="Verdana"/>
        <family val="2"/>
      </rPr>
      <t>)</t>
    </r>
  </si>
  <si>
    <r>
      <t>Alternate Emission Factor (kg CH</t>
    </r>
    <r>
      <rPr>
        <vertAlign val="subscript"/>
        <sz val="10"/>
        <rFont val="Verdana"/>
        <family val="2"/>
      </rPr>
      <t>4</t>
    </r>
    <r>
      <rPr>
        <sz val="10"/>
        <rFont val="Verdana"/>
        <family val="2"/>
      </rPr>
      <t>/kWh)</t>
    </r>
  </si>
  <si>
    <r>
      <t>Alternate Emission Factor (kg N</t>
    </r>
    <r>
      <rPr>
        <vertAlign val="subscript"/>
        <sz val="10"/>
        <rFont val="Verdana"/>
        <family val="2"/>
      </rPr>
      <t>2</t>
    </r>
    <r>
      <rPr>
        <sz val="10"/>
        <rFont val="Verdana"/>
        <family val="2"/>
      </rPr>
      <t>O/kWh)</t>
    </r>
  </si>
  <si>
    <r>
      <t>Selected Emission Factor (kg CH</t>
    </r>
    <r>
      <rPr>
        <vertAlign val="subscript"/>
        <sz val="10"/>
        <rFont val="Verdana"/>
        <family val="2"/>
      </rPr>
      <t>4</t>
    </r>
    <r>
      <rPr>
        <sz val="10"/>
        <rFont val="Verdana"/>
        <family val="2"/>
      </rPr>
      <t>/kWh)</t>
    </r>
  </si>
  <si>
    <r>
      <t>Selected Emission Factor (kg N</t>
    </r>
    <r>
      <rPr>
        <vertAlign val="subscript"/>
        <sz val="10"/>
        <rFont val="Verdana"/>
        <family val="2"/>
      </rPr>
      <t>2</t>
    </r>
    <r>
      <rPr>
        <sz val="10"/>
        <rFont val="Verdana"/>
        <family val="2"/>
      </rPr>
      <t>O/kWh)</t>
    </r>
  </si>
  <si>
    <t>Shipyard Name:</t>
  </si>
  <si>
    <t>Shipyard Information</t>
  </si>
  <si>
    <t>Methodology Overview</t>
  </si>
  <si>
    <t>Mobile Combustion (Scope 1)</t>
  </si>
  <si>
    <t>Purchased Electricity (Scope 2)</t>
  </si>
  <si>
    <t>Stationary Fuel Combustion (Scope 1)</t>
  </si>
  <si>
    <t>Non-Road Equipment</t>
  </si>
  <si>
    <t>Diesel Fuel</t>
  </si>
  <si>
    <r>
      <t>CO</t>
    </r>
    <r>
      <rPr>
        <vertAlign val="subscript"/>
        <sz val="10"/>
        <rFont val="Verdana"/>
        <family val="2"/>
      </rPr>
      <t>2</t>
    </r>
    <r>
      <rPr>
        <sz val="10"/>
        <rFont val="Verdana"/>
        <family val="2"/>
      </rPr>
      <t xml:space="preserve"> Emissions from Construction and Industrial Equipment</t>
    </r>
  </si>
  <si>
    <r>
      <t>CO</t>
    </r>
    <r>
      <rPr>
        <vertAlign val="subscript"/>
        <sz val="10"/>
        <rFont val="Verdana"/>
        <family val="2"/>
      </rPr>
      <t>2</t>
    </r>
    <r>
      <rPr>
        <sz val="10"/>
        <rFont val="Verdana"/>
        <family val="2"/>
      </rPr>
      <t xml:space="preserve"> Emissions from Tugs and Larger Vessels</t>
    </r>
  </si>
  <si>
    <r>
      <t>CO</t>
    </r>
    <r>
      <rPr>
        <vertAlign val="subscript"/>
        <sz val="10"/>
        <rFont val="Verdana"/>
        <family val="2"/>
      </rPr>
      <t>2</t>
    </r>
    <r>
      <rPr>
        <sz val="10"/>
        <rFont val="Verdana"/>
        <family val="2"/>
      </rPr>
      <t xml:space="preserve"> Emissions from Vehicles Used for Road Transportation</t>
    </r>
  </si>
  <si>
    <t>lb/kg</t>
  </si>
  <si>
    <t>ft3/m3</t>
  </si>
  <si>
    <t>ton/metric ton</t>
  </si>
  <si>
    <t>lbs/ton</t>
  </si>
  <si>
    <t>CO2/C</t>
  </si>
  <si>
    <t>Gas Density (lb/cubic foot)</t>
  </si>
  <si>
    <t>Carbon Dioxide (CO2)</t>
  </si>
  <si>
    <t>lb/ft3</t>
  </si>
  <si>
    <t>http://www.uigi.com/carbondioxide.html</t>
  </si>
  <si>
    <t>Acetylene Gas (C2H2)</t>
  </si>
  <si>
    <t xml:space="preserve">Density calculated here </t>
  </si>
  <si>
    <t>Acetylene Gas Density Conversion</t>
  </si>
  <si>
    <t>kg/m3</t>
  </si>
  <si>
    <t>http://encyclopedia.airliquide.com/encyclopedia.asp?GasID=1</t>
  </si>
  <si>
    <t>lbs/m3</t>
  </si>
  <si>
    <t>CO2 per ft3 (MTCO2E/cubic foot gas consumed)</t>
  </si>
  <si>
    <t>lbs/ft3</t>
  </si>
  <si>
    <t>CO2</t>
  </si>
  <si>
    <t>Atomic Mass</t>
  </si>
  <si>
    <t>Carbon</t>
  </si>
  <si>
    <t>CO2 per Million CF gas consumed (MTCO2E/Million CF)</t>
  </si>
  <si>
    <t>Hydrogen</t>
  </si>
  <si>
    <t>Acetylene (C2H2)</t>
  </si>
  <si>
    <t>Acetylene % C</t>
  </si>
  <si>
    <t>C2H2 +</t>
  </si>
  <si>
    <t>2.5 O2</t>
  </si>
  <si>
    <t>2 CO2 +</t>
  </si>
  <si>
    <t>H2O</t>
  </si>
  <si>
    <t>m3 C2H2</t>
  </si>
  <si>
    <t>m3 CO2</t>
  </si>
  <si>
    <t>C2</t>
  </si>
  <si>
    <t>C2H2</t>
  </si>
  <si>
    <t>[@ standard temperature and pressure]</t>
  </si>
  <si>
    <t>FT3</t>
  </si>
  <si>
    <t>ACETYLENE</t>
  </si>
  <si>
    <t>M3</t>
  </si>
  <si>
    <t>KG</t>
  </si>
  <si>
    <t xml:space="preserve">M </t>
  </si>
  <si>
    <t>M</t>
  </si>
  <si>
    <t>CARBON</t>
  </si>
  <si>
    <t>CARBON DIOXIDE</t>
  </si>
  <si>
    <t>METRIC TONS</t>
  </si>
  <si>
    <t>CARBON DIOXIDE PER FT3 ACETYLENE</t>
  </si>
  <si>
    <t>Mass Balance C2H2</t>
  </si>
  <si>
    <t>HCF/PFC</t>
  </si>
  <si>
    <t>HFC/PFC</t>
  </si>
  <si>
    <t>Gas density (1.013 bar and 15 °C (59 °F)) : 1.11 kg/m3</t>
  </si>
  <si>
    <t xml:space="preserve">Emissions Calculated from Fuel Used:  All Modes of Transport </t>
  </si>
  <si>
    <t>Global Warming Potentials of Common GHGs and Refrigerants</t>
  </si>
  <si>
    <t>Refrigeration Factors</t>
  </si>
  <si>
    <t>State 2004 Electricity GHG Emission Factors</t>
  </si>
  <si>
    <r>
      <t>Default Gross Calorific Values (GCV) / Higher Heating Values (HHVs)</t>
    </r>
    <r>
      <rPr>
        <vertAlign val="superscript"/>
        <sz val="16"/>
        <color indexed="9"/>
        <rFont val="Arial"/>
        <family val="2"/>
      </rPr>
      <t>d</t>
    </r>
  </si>
  <si>
    <r>
      <t>(Based on GCV or HHV)</t>
    </r>
    <r>
      <rPr>
        <vertAlign val="superscript"/>
        <sz val="8"/>
        <color indexed="9"/>
        <rFont val="Arial"/>
        <family val="2"/>
      </rPr>
      <t>a,d</t>
    </r>
  </si>
  <si>
    <r>
      <t>Default CH</t>
    </r>
    <r>
      <rPr>
        <vertAlign val="subscript"/>
        <sz val="22"/>
        <color indexed="9"/>
        <rFont val="Arial"/>
        <family val="2"/>
      </rPr>
      <t>4</t>
    </r>
    <r>
      <rPr>
        <sz val="22"/>
        <color indexed="9"/>
        <rFont val="Arial"/>
        <family val="2"/>
      </rPr>
      <t xml:space="preserve"> and N</t>
    </r>
    <r>
      <rPr>
        <vertAlign val="subscript"/>
        <sz val="22"/>
        <color indexed="9"/>
        <rFont val="Arial"/>
        <family val="2"/>
      </rPr>
      <t>2</t>
    </r>
    <r>
      <rPr>
        <sz val="22"/>
        <color indexed="9"/>
        <rFont val="Arial"/>
        <family val="2"/>
      </rPr>
      <t>O Emission Factors</t>
    </r>
  </si>
  <si>
    <r>
      <t>GHG Emission Factors for Acetylene and CO</t>
    </r>
    <r>
      <rPr>
        <vertAlign val="subscript"/>
        <sz val="22"/>
        <color indexed="9"/>
        <rFont val="Arial"/>
        <family val="2"/>
      </rPr>
      <t>2</t>
    </r>
    <r>
      <rPr>
        <sz val="22"/>
        <color indexed="9"/>
        <rFont val="Arial"/>
        <family val="2"/>
      </rPr>
      <t xml:space="preserve"> gas consumption</t>
    </r>
  </si>
  <si>
    <r>
      <t>1</t>
    </r>
    <r>
      <rPr>
        <sz val="6"/>
        <rFont val="Arial"/>
        <family val="2"/>
      </rPr>
      <t xml:space="preserve"> World Business Council for Sustainable Development/World Resources Institute (2004). The Greenhouse Gas Protocol - A Corporate Accounting and Reporting Standard - Revised Edition. March.
</t>
    </r>
    <r>
      <rPr>
        <vertAlign val="superscript"/>
        <sz val="6"/>
        <rFont val="Arial"/>
        <family val="2"/>
      </rPr>
      <t>2</t>
    </r>
    <r>
      <rPr>
        <sz val="6"/>
        <rFont val="Arial"/>
        <family val="2"/>
      </rPr>
      <t xml:space="preserve"> IPCC (2006) </t>
    </r>
    <r>
      <rPr>
        <i/>
        <sz val="6"/>
        <rFont val="Arial"/>
        <family val="2"/>
      </rPr>
      <t>2006 IPCC Guidelines for National Greenhouse Gas Inventories</t>
    </r>
    <r>
      <rPr>
        <sz val="6"/>
        <rFont val="Arial"/>
        <family val="2"/>
      </rPr>
      <t>. The National Greenhouse Gas Inventories Programme, H.S. Eggleston, L. Buenida, K. Miwa, T Ngara, and K. Tanabe, eds.; Institute for Global Environmental Strategies (IGES).  Hayama, Kanagawa, Japan.</t>
    </r>
  </si>
  <si>
    <r>
      <t>Welcome to the Greenhouse Gas Emission Inventory Tool for the Shipbuilding Industry.  The methodologies used in this tool are based on factors presented in the World Resources Institute's (WRI) Corporate Protocol Standard</t>
    </r>
    <r>
      <rPr>
        <b/>
        <vertAlign val="superscript"/>
        <sz val="11"/>
        <rFont val="Verdana"/>
        <family val="2"/>
      </rPr>
      <t>1</t>
    </r>
    <r>
      <rPr>
        <b/>
        <sz val="11"/>
        <rFont val="Verdana"/>
        <family val="2"/>
      </rPr>
      <t xml:space="preserve"> for organizations estimating GHG emissions as well as methodologies and factors presented by the Intergovernmental Panel on Climate Change's (IPCC) 2006 Guidelines for National Greenhouse Gas Emission Inventories</t>
    </r>
    <r>
      <rPr>
        <b/>
        <vertAlign val="superscript"/>
        <sz val="11"/>
        <rFont val="Verdana"/>
        <family val="2"/>
      </rPr>
      <t>2</t>
    </r>
    <r>
      <rPr>
        <b/>
        <sz val="11"/>
        <rFont val="Verdana"/>
        <family val="2"/>
      </rPr>
      <t xml:space="preserve">.  </t>
    </r>
  </si>
  <si>
    <t>Tool Design</t>
  </si>
  <si>
    <t>Introduction Sheet</t>
  </si>
  <si>
    <t>Color Coding Key</t>
  </si>
  <si>
    <t>Data Needs</t>
  </si>
  <si>
    <t>Scope 1</t>
  </si>
  <si>
    <t>Scope 2</t>
  </si>
  <si>
    <t>Scope 3</t>
  </si>
  <si>
    <t>Data on fuel consumed by electricity generated on-site and used in generators, as well as the combustion of fuels for road transportation, non-road equipment, and watercraft.</t>
  </si>
  <si>
    <t>Data on the amount of purchased electricity for the year of inventory.</t>
  </si>
  <si>
    <t>Data on the number of refrigeration and air-conditioning (A/C) units, and the amount and type of refrigerant contained in each</t>
  </si>
  <si>
    <t>Additional Data Need</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</si>
</sst>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_(* #,##0_);_(* \(#,##0\);_(* &quot;-&quot;??_);_(@_)"/>
    <numFmt numFmtId="169" formatCode="0.000\ &quot;t/m3&quot;"/>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0_)"/>
    <numFmt numFmtId="175" formatCode="0.00&quot; *&quot;"/>
    <numFmt numFmtId="176" formatCode="0.0%"/>
    <numFmt numFmtId="177" formatCode="#,##0.0000"/>
    <numFmt numFmtId="178" formatCode="_(* #,##0.0_);_(* \(#,##0.0\);_(* &quot;-&quot;??_);_(@_)"/>
    <numFmt numFmtId="179" formatCode="###0.00_)"/>
    <numFmt numFmtId="180" formatCode="0.0_W"/>
    <numFmt numFmtId="181" formatCode="#,##0_)"/>
    <numFmt numFmtId="182" formatCode="#,###;\(#,###\)"/>
    <numFmt numFmtId="183" formatCode="0.000000"/>
    <numFmt numFmtId="184" formatCode="0.00000"/>
    <numFmt numFmtId="185" formatCode="#,##0.000"/>
    <numFmt numFmtId="186" formatCode="@*."/>
    <numFmt numFmtId="187" formatCode="###,###,###,##0&quot;  &quot;"/>
    <numFmt numFmtId="188" formatCode="0.00&quot;  &quot;"/>
    <numFmt numFmtId="189" formatCode="###,###,###,##0.00&quot;  &quot;"/>
    <numFmt numFmtId="190" formatCode="#,##0.000000"/>
    <numFmt numFmtId="191" formatCode="0.00000000"/>
    <numFmt numFmtId="192" formatCode="0.0000000"/>
    <numFmt numFmtId="193" formatCode=";;;"/>
    <numFmt numFmtId="194" formatCode="&quot;$&quot;#,##0"/>
    <numFmt numFmtId="195" formatCode="&quot;$&quot;#,##0.00"/>
    <numFmt numFmtId="196" formatCode="mm/dd/yy"/>
    <numFmt numFmtId="197" formatCode="#,##0.00000"/>
    <numFmt numFmtId="198" formatCode="0.000%"/>
    <numFmt numFmtId="199" formatCode="0.0000%"/>
    <numFmt numFmtId="200" formatCode="#,##0.0000000"/>
    <numFmt numFmtId="201" formatCode="#,##0.00000000"/>
    <numFmt numFmtId="202" formatCode="&quot;$&quot;#,##0.0"/>
    <numFmt numFmtId="203" formatCode="&quot;$&quot;#,##0.000"/>
    <numFmt numFmtId="204" formatCode="0.000000000"/>
    <numFmt numFmtId="205" formatCode="&quot;Yes&quot;;&quot;Yes&quot;;&quot;No&quot;"/>
    <numFmt numFmtId="206" formatCode="&quot;True&quot;;&quot;True&quot;;&quot;False&quot;"/>
    <numFmt numFmtId="207" formatCode="&quot;On&quot;;&quot;On&quot;;&quot;Off&quot;"/>
    <numFmt numFmtId="208" formatCode="[$€-2]\ #,##0.00_);[Red]\([$€-2]\ #,##0.00\)"/>
  </numFmts>
  <fonts count="125">
    <font>
      <sz val="10"/>
      <name val="Arial"/>
      <family val="0"/>
    </font>
    <font>
      <u val="single"/>
      <sz val="10"/>
      <color indexed="36"/>
      <name val="Arial"/>
      <family val="0"/>
    </font>
    <font>
      <u val="single"/>
      <sz val="10"/>
      <color indexed="12"/>
      <name val="Arial"/>
      <family val="0"/>
    </font>
    <font>
      <sz val="8"/>
      <name val="Helv"/>
      <family val="0"/>
    </font>
    <font>
      <b/>
      <sz val="14"/>
      <name val="Helv"/>
      <family val="0"/>
    </font>
    <font>
      <b/>
      <sz val="12"/>
      <name val="Helv"/>
      <family val="0"/>
    </font>
    <font>
      <b/>
      <sz val="12"/>
      <name val="Arial"/>
      <family val="2"/>
    </font>
    <font>
      <b/>
      <sz val="11"/>
      <name val="Arial"/>
      <family val="2"/>
    </font>
    <font>
      <b/>
      <sz val="10"/>
      <name val="Arial"/>
      <family val="2"/>
    </font>
    <font>
      <b/>
      <vertAlign val="subscript"/>
      <sz val="10"/>
      <name val="Arial"/>
      <family val="2"/>
    </font>
    <font>
      <sz val="11"/>
      <name val="Arial"/>
      <family val="2"/>
    </font>
    <font>
      <vertAlign val="subscript"/>
      <sz val="11"/>
      <name val="Arial"/>
      <family val="2"/>
    </font>
    <font>
      <sz val="8"/>
      <name val="Arial"/>
      <family val="0"/>
    </font>
    <font>
      <sz val="12"/>
      <name val="Arial"/>
      <family val="2"/>
    </font>
    <font>
      <vertAlign val="superscript"/>
      <sz val="11"/>
      <name val="Arial"/>
      <family val="2"/>
    </font>
    <font>
      <sz val="8"/>
      <name val="Tahoma"/>
      <family val="0"/>
    </font>
    <font>
      <b/>
      <i/>
      <sz val="16"/>
      <name val="Helv"/>
      <family val="0"/>
    </font>
    <font>
      <vertAlign val="subscript"/>
      <sz val="10"/>
      <name val="Arial"/>
      <family val="2"/>
    </font>
    <font>
      <sz val="10"/>
      <color indexed="8"/>
      <name val="Arial"/>
      <family val="2"/>
    </font>
    <font>
      <sz val="9"/>
      <color indexed="18"/>
      <name val="Arial"/>
      <family val="2"/>
    </font>
    <font>
      <sz val="8"/>
      <color indexed="8"/>
      <name val="Arial"/>
      <family val="2"/>
    </font>
    <font>
      <b/>
      <sz val="9"/>
      <name val="Arial"/>
      <family val="0"/>
    </font>
    <font>
      <sz val="9"/>
      <color indexed="8"/>
      <name val="Arial"/>
      <family val="2"/>
    </font>
    <font>
      <b/>
      <sz val="9"/>
      <color indexed="9"/>
      <name val="Arial"/>
      <family val="2"/>
    </font>
    <font>
      <sz val="9"/>
      <name val="Arial"/>
      <family val="2"/>
    </font>
    <font>
      <sz val="8"/>
      <color indexed="9"/>
      <name val="Arial"/>
      <family val="2"/>
    </font>
    <font>
      <sz val="9"/>
      <color indexed="9"/>
      <name val="Arial"/>
      <family val="2"/>
    </font>
    <font>
      <b/>
      <sz val="10"/>
      <color indexed="9"/>
      <name val="Arial"/>
      <family val="2"/>
    </font>
    <font>
      <b/>
      <sz val="9"/>
      <color indexed="8"/>
      <name val="Arial"/>
      <family val="0"/>
    </font>
    <font>
      <sz val="10"/>
      <color indexed="9"/>
      <name val="Arial"/>
      <family val="2"/>
    </font>
    <font>
      <b/>
      <sz val="8"/>
      <name val="Arial"/>
      <family val="2"/>
    </font>
    <font>
      <i/>
      <sz val="10"/>
      <name val="Arial"/>
      <family val="2"/>
    </font>
    <font>
      <b/>
      <sz val="8"/>
      <name val="Tahoma"/>
      <family val="0"/>
    </font>
    <font>
      <b/>
      <i/>
      <sz val="10"/>
      <name val="Arial"/>
      <family val="2"/>
    </font>
    <font>
      <sz val="12"/>
      <name val="Trebuchet MS"/>
      <family val="2"/>
    </font>
    <font>
      <b/>
      <sz val="14"/>
      <name val="Trebuchet MS"/>
      <family val="2"/>
    </font>
    <font>
      <b/>
      <sz val="12"/>
      <name val="Trebuchet MS"/>
      <family val="2"/>
    </font>
    <font>
      <b/>
      <u val="single"/>
      <sz val="12"/>
      <name val="Trebuchet MS"/>
      <family val="2"/>
    </font>
    <font>
      <sz val="11"/>
      <name val="Trebuchet MS"/>
      <family val="2"/>
    </font>
    <font>
      <u val="single"/>
      <sz val="12"/>
      <name val="Trebuchet MS"/>
      <family val="2"/>
    </font>
    <font>
      <b/>
      <sz val="11"/>
      <name val="Trebuchet MS"/>
      <family val="2"/>
    </font>
    <font>
      <b/>
      <vertAlign val="subscript"/>
      <sz val="11"/>
      <name val="Trebuchet MS"/>
      <family val="2"/>
    </font>
    <font>
      <sz val="10"/>
      <name val="Verdana"/>
      <family val="2"/>
    </font>
    <font>
      <b/>
      <sz val="12"/>
      <color indexed="9"/>
      <name val="Verdana"/>
      <family val="2"/>
    </font>
    <font>
      <vertAlign val="subscript"/>
      <sz val="10"/>
      <name val="Verdana"/>
      <family val="2"/>
    </font>
    <font>
      <sz val="9"/>
      <name val="Times New Roman"/>
      <family val="1"/>
    </font>
    <font>
      <b/>
      <sz val="9"/>
      <name val="Times New Roman"/>
      <family val="1"/>
    </font>
    <font>
      <sz val="12"/>
      <name val="Helv"/>
      <family val="0"/>
    </font>
    <font>
      <sz val="9"/>
      <name val="Helv"/>
      <family val="0"/>
    </font>
    <font>
      <vertAlign val="superscript"/>
      <sz val="12"/>
      <name val="Helv"/>
      <family val="0"/>
    </font>
    <font>
      <sz val="10"/>
      <name val="Helv"/>
      <family val="0"/>
    </font>
    <font>
      <b/>
      <sz val="18"/>
      <name val="Arial"/>
      <family val="0"/>
    </font>
    <font>
      <b/>
      <sz val="12"/>
      <name val="Times New Roman"/>
      <family val="1"/>
    </font>
    <font>
      <b/>
      <sz val="9"/>
      <name val="Helv"/>
      <family val="0"/>
    </font>
    <font>
      <sz val="8.5"/>
      <name val="Helv"/>
      <family val="0"/>
    </font>
    <font>
      <b/>
      <sz val="10"/>
      <name val="Helv"/>
      <family val="0"/>
    </font>
    <font>
      <b/>
      <vertAlign val="superscript"/>
      <sz val="10"/>
      <name val="Arial"/>
      <family val="2"/>
    </font>
    <font>
      <vertAlign val="superscript"/>
      <sz val="8"/>
      <name val="Arial"/>
      <family val="2"/>
    </font>
    <font>
      <vertAlign val="superscript"/>
      <sz val="10"/>
      <name val="Arial"/>
      <family val="2"/>
    </font>
    <font>
      <b/>
      <vertAlign val="superscript"/>
      <sz val="8"/>
      <name val="Arial"/>
      <family val="2"/>
    </font>
    <font>
      <sz val="8"/>
      <color indexed="10"/>
      <name val="Arial"/>
      <family val="2"/>
    </font>
    <font>
      <sz val="10"/>
      <color indexed="10"/>
      <name val="Arial"/>
      <family val="2"/>
    </font>
    <font>
      <u val="single"/>
      <sz val="10"/>
      <name val="Arial"/>
      <family val="2"/>
    </font>
    <font>
      <b/>
      <sz val="10"/>
      <name val="Verdana"/>
      <family val="2"/>
    </font>
    <font>
      <sz val="10"/>
      <color indexed="9"/>
      <name val="Verdana"/>
      <family val="2"/>
    </font>
    <font>
      <b/>
      <sz val="10"/>
      <color indexed="8"/>
      <name val="Arial"/>
      <family val="2"/>
    </font>
    <font>
      <b/>
      <sz val="8.8"/>
      <color indexed="8"/>
      <name val="Arial"/>
      <family val="0"/>
    </font>
    <font>
      <b/>
      <vertAlign val="subscript"/>
      <sz val="10"/>
      <name val="Verdana"/>
      <family val="2"/>
    </font>
    <font>
      <sz val="10.25"/>
      <name val="Verdana"/>
      <family val="2"/>
    </font>
    <font>
      <b/>
      <sz val="9.75"/>
      <name val="Verdana"/>
      <family val="2"/>
    </font>
    <font>
      <sz val="9.75"/>
      <name val="Verdana"/>
      <family val="2"/>
    </font>
    <font>
      <b/>
      <vertAlign val="subscript"/>
      <sz val="9.75"/>
      <name val="Verdana"/>
      <family val="2"/>
    </font>
    <font>
      <b/>
      <sz val="9.25"/>
      <name val="Verdana"/>
      <family val="2"/>
    </font>
    <font>
      <b/>
      <vertAlign val="subscript"/>
      <sz val="9.25"/>
      <name val="Verdana"/>
      <family val="2"/>
    </font>
    <font>
      <sz val="9.25"/>
      <name val="Verdana"/>
      <family val="2"/>
    </font>
    <font>
      <sz val="8"/>
      <name val="Verdana"/>
      <family val="2"/>
    </font>
    <font>
      <sz val="11"/>
      <name val="Verdana"/>
      <family val="2"/>
    </font>
    <font>
      <sz val="8.5"/>
      <name val="Verdana"/>
      <family val="2"/>
    </font>
    <font>
      <b/>
      <sz val="11"/>
      <name val="Verdana"/>
      <family val="2"/>
    </font>
    <font>
      <b/>
      <vertAlign val="subscript"/>
      <sz val="11"/>
      <name val="Verdana"/>
      <family val="2"/>
    </font>
    <font>
      <b/>
      <sz val="10.75"/>
      <name val="Verdana"/>
      <family val="2"/>
    </font>
    <font>
      <b/>
      <vertAlign val="subscript"/>
      <sz val="10.75"/>
      <name val="Verdana"/>
      <family val="2"/>
    </font>
    <font>
      <b/>
      <sz val="15.5"/>
      <name val="Verdana"/>
      <family val="2"/>
    </font>
    <font>
      <b/>
      <vertAlign val="subscript"/>
      <sz val="15.5"/>
      <name val="Verdana"/>
      <family val="2"/>
    </font>
    <font>
      <b/>
      <sz val="12"/>
      <name val="Verdana"/>
      <family val="2"/>
    </font>
    <font>
      <b/>
      <vertAlign val="subscript"/>
      <sz val="12"/>
      <name val="Verdana"/>
      <family val="2"/>
    </font>
    <font>
      <sz val="12"/>
      <name val="Verdana"/>
      <family val="2"/>
    </font>
    <font>
      <sz val="24"/>
      <color indexed="9"/>
      <name val="Verdana"/>
      <family val="2"/>
    </font>
    <font>
      <b/>
      <sz val="8"/>
      <color indexed="12"/>
      <name val="Tahoma"/>
      <family val="2"/>
    </font>
    <font>
      <sz val="22"/>
      <color indexed="9"/>
      <name val="Verdana"/>
      <family val="2"/>
    </font>
    <font>
      <sz val="12"/>
      <color indexed="8"/>
      <name val="Times New Roman"/>
      <family val="0"/>
    </font>
    <font>
      <sz val="10"/>
      <color indexed="8"/>
      <name val="Verdana"/>
      <family val="0"/>
    </font>
    <font>
      <b/>
      <sz val="10"/>
      <color indexed="8"/>
      <name val="Verdana"/>
      <family val="2"/>
    </font>
    <font>
      <vertAlign val="subscript"/>
      <sz val="10"/>
      <color indexed="8"/>
      <name val="Verdana"/>
      <family val="2"/>
    </font>
    <font>
      <sz val="13"/>
      <name val="Verdana"/>
      <family val="2"/>
    </font>
    <font>
      <u val="single"/>
      <sz val="8"/>
      <color indexed="12"/>
      <name val="Arial"/>
      <family val="2"/>
    </font>
    <font>
      <sz val="8"/>
      <color indexed="18"/>
      <name val="Arial"/>
      <family val="2"/>
    </font>
    <font>
      <sz val="22"/>
      <color indexed="9"/>
      <name val="Arial"/>
      <family val="2"/>
    </font>
    <font>
      <b/>
      <sz val="9"/>
      <color indexed="18"/>
      <name val="Arial"/>
      <family val="2"/>
    </font>
    <font>
      <u val="single"/>
      <sz val="10"/>
      <color indexed="9"/>
      <name val="Arial"/>
      <family val="0"/>
    </font>
    <font>
      <sz val="10"/>
      <color indexed="9"/>
      <name val="Arial Unicode MS"/>
      <family val="2"/>
    </font>
    <font>
      <sz val="16"/>
      <color indexed="9"/>
      <name val="Arial"/>
      <family val="2"/>
    </font>
    <font>
      <vertAlign val="superscript"/>
      <sz val="16"/>
      <color indexed="9"/>
      <name val="Arial"/>
      <family val="2"/>
    </font>
    <font>
      <vertAlign val="superscript"/>
      <sz val="8"/>
      <color indexed="9"/>
      <name val="Arial"/>
      <family val="2"/>
    </font>
    <font>
      <vertAlign val="subscript"/>
      <sz val="22"/>
      <color indexed="9"/>
      <name val="Arial"/>
      <family val="2"/>
    </font>
    <font>
      <sz val="6"/>
      <name val="Arial"/>
      <family val="2"/>
    </font>
    <font>
      <i/>
      <sz val="6"/>
      <name val="Arial"/>
      <family val="2"/>
    </font>
    <font>
      <vertAlign val="superscript"/>
      <sz val="6"/>
      <name val="Arial"/>
      <family val="2"/>
    </font>
    <font>
      <b/>
      <i/>
      <sz val="10"/>
      <name val="Verdana"/>
      <family val="2"/>
    </font>
    <font>
      <i/>
      <sz val="10"/>
      <name val="Verdana"/>
      <family val="2"/>
    </font>
    <font>
      <sz val="14"/>
      <name val="Verdana"/>
      <family val="2"/>
    </font>
    <font>
      <sz val="14"/>
      <color indexed="9"/>
      <name val="Verdana"/>
      <family val="2"/>
    </font>
    <font>
      <b/>
      <vertAlign val="superscript"/>
      <sz val="11"/>
      <name val="Verdana"/>
      <family val="2"/>
    </font>
    <font>
      <b/>
      <sz val="10"/>
      <color indexed="9"/>
      <name val="Verdana"/>
      <family val="2"/>
    </font>
    <font>
      <b/>
      <sz val="8"/>
      <color indexed="9"/>
      <name val="Arial"/>
      <family val="2"/>
    </font>
    <font>
      <vertAlign val="subscript"/>
      <sz val="8"/>
      <name val="Arial"/>
      <family val="2"/>
    </font>
    <font>
      <b/>
      <sz val="7"/>
      <color indexed="12"/>
      <name val="Verdana"/>
      <family val="2"/>
    </font>
    <font>
      <sz val="10.75"/>
      <name val="Verdana"/>
      <family val="2"/>
    </font>
    <font>
      <b/>
      <vertAlign val="subscript"/>
      <sz val="10"/>
      <color indexed="9"/>
      <name val="Verdana"/>
      <family val="2"/>
    </font>
    <font>
      <b/>
      <sz val="11"/>
      <color indexed="9"/>
      <name val="Verdana"/>
      <family val="2"/>
    </font>
    <font>
      <b/>
      <vertAlign val="subscript"/>
      <sz val="11"/>
      <color indexed="9"/>
      <name val="Verdana"/>
      <family val="2"/>
    </font>
    <font>
      <b/>
      <sz val="8"/>
      <color indexed="18"/>
      <name val="Verdana"/>
      <family val="2"/>
    </font>
    <font>
      <b/>
      <sz val="8"/>
      <color indexed="18"/>
      <name val="Arial"/>
      <family val="2"/>
    </font>
    <font>
      <b/>
      <sz val="10"/>
      <color indexed="18"/>
      <name val="Verdana"/>
      <family val="2"/>
    </font>
    <font>
      <sz val="9"/>
      <name val="Verdana"/>
      <family val="2"/>
    </font>
  </fonts>
  <fills count="18">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26"/>
        <bgColor indexed="64"/>
      </patternFill>
    </fill>
    <fill>
      <patternFill patternType="darkTrellis"/>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7"/>
        <bgColor indexed="64"/>
      </patternFill>
    </fill>
    <fill>
      <patternFill patternType="solid">
        <fgColor indexed="42"/>
        <bgColor indexed="64"/>
      </patternFill>
    </fill>
    <fill>
      <patternFill patternType="solid">
        <fgColor indexed="18"/>
        <bgColor indexed="64"/>
      </patternFill>
    </fill>
    <fill>
      <patternFill patternType="solid">
        <fgColor indexed="9"/>
        <bgColor indexed="64"/>
      </patternFill>
    </fill>
    <fill>
      <patternFill patternType="solid">
        <fgColor indexed="13"/>
        <bgColor indexed="64"/>
      </patternFill>
    </fill>
    <fill>
      <patternFill patternType="solid">
        <fgColor indexed="52"/>
        <bgColor indexed="64"/>
      </patternFill>
    </fill>
    <fill>
      <patternFill patternType="solid">
        <fgColor indexed="17"/>
        <bgColor indexed="64"/>
      </patternFill>
    </fill>
  </fills>
  <borders count="74">
    <border>
      <left/>
      <right/>
      <top/>
      <bottom/>
      <diagonal/>
    </border>
    <border>
      <left style="thin"/>
      <right style="thin"/>
      <top style="thin"/>
      <bottom style="thin"/>
    </border>
    <border>
      <left style="medium"/>
      <right style="thin"/>
      <top style="thin"/>
      <bottom style="thin"/>
    </border>
    <border>
      <left style="thin"/>
      <right style="thin"/>
      <top>
        <color indexed="63"/>
      </top>
      <bottom style="thin"/>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medium"/>
      <right style="thin"/>
      <top style="medium"/>
      <bottom>
        <color indexed="63"/>
      </bottom>
    </border>
    <border>
      <left>
        <color indexed="63"/>
      </left>
      <right style="thin"/>
      <top style="medium"/>
      <bottom>
        <color indexed="63"/>
      </bottom>
    </border>
    <border>
      <left style="medium"/>
      <right style="thin"/>
      <top>
        <color indexed="63"/>
      </top>
      <bottom style="medium"/>
    </border>
    <border>
      <left>
        <color indexed="63"/>
      </left>
      <right style="thin"/>
      <top>
        <color indexed="63"/>
      </top>
      <bottom style="mediu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double">
        <color indexed="22"/>
      </top>
      <bottom style="double">
        <color indexed="22"/>
      </bottom>
    </border>
    <border>
      <left>
        <color indexed="63"/>
      </left>
      <right>
        <color indexed="63"/>
      </right>
      <top style="medium">
        <color indexed="9"/>
      </top>
      <bottom style="medium">
        <color indexed="9"/>
      </bottom>
    </border>
    <border>
      <left style="medium"/>
      <right style="medium"/>
      <top style="medium"/>
      <bottom>
        <color indexed="63"/>
      </bottom>
    </border>
    <border>
      <left style="thin"/>
      <right style="medium"/>
      <top>
        <color indexed="63"/>
      </top>
      <bottom>
        <color indexed="63"/>
      </bottom>
    </border>
    <border>
      <left style="thin"/>
      <right style="thin"/>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medium"/>
    </border>
    <border>
      <left>
        <color indexed="63"/>
      </left>
      <right>
        <color indexed="63"/>
      </right>
      <top>
        <color indexed="63"/>
      </top>
      <bottom style="double">
        <color indexed="22"/>
      </bottom>
    </border>
    <border>
      <left>
        <color indexed="63"/>
      </left>
      <right>
        <color indexed="63"/>
      </right>
      <top style="medium">
        <color indexed="23"/>
      </top>
      <bottom style="medium">
        <color indexed="23"/>
      </bottom>
    </border>
    <border>
      <left>
        <color indexed="63"/>
      </left>
      <right>
        <color indexed="63"/>
      </right>
      <top style="medium">
        <color indexed="55"/>
      </top>
      <bottom style="medium">
        <color indexed="55"/>
      </bottom>
    </border>
    <border>
      <left>
        <color indexed="63"/>
      </left>
      <right>
        <color indexed="63"/>
      </right>
      <top>
        <color indexed="63"/>
      </top>
      <bottom style="medium">
        <color indexed="9"/>
      </bottom>
    </border>
    <border>
      <left style="thin"/>
      <right>
        <color indexed="63"/>
      </right>
      <top style="double">
        <color indexed="22"/>
      </top>
      <bottom style="double">
        <color indexed="22"/>
      </bottom>
    </border>
    <border>
      <left>
        <color indexed="63"/>
      </left>
      <right>
        <color indexed="63"/>
      </right>
      <top style="double">
        <color indexed="9"/>
      </top>
      <bottom style="double">
        <color indexed="9"/>
      </bottom>
    </border>
    <border>
      <left style="thin"/>
      <right>
        <color indexed="63"/>
      </right>
      <top style="thin"/>
      <bottom style="medium"/>
    </border>
    <border>
      <left>
        <color indexed="63"/>
      </left>
      <right style="thin"/>
      <top style="double">
        <color indexed="9"/>
      </top>
      <bottom>
        <color indexed="63"/>
      </bottom>
    </border>
    <border>
      <left style="thin"/>
      <right style="thin"/>
      <top style="double">
        <color indexed="9"/>
      </top>
      <bottom>
        <color indexed="63"/>
      </bottom>
    </border>
    <border>
      <left style="thin"/>
      <right>
        <color indexed="63"/>
      </right>
      <top style="double">
        <color indexed="9"/>
      </top>
      <bottom>
        <color indexed="63"/>
      </bottom>
    </border>
    <border>
      <left>
        <color indexed="63"/>
      </left>
      <right style="thin"/>
      <top style="thin"/>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9" fontId="45" fillId="0" borderId="1" applyNumberFormat="0" applyFont="0" applyFill="0" applyBorder="0" applyProtection="0">
      <alignment horizontal="left" vertical="center" indent="2"/>
    </xf>
    <xf numFmtId="49" fontId="45" fillId="0" borderId="2" applyNumberFormat="0" applyFont="0" applyFill="0" applyBorder="0" applyProtection="0">
      <alignment horizontal="left" vertical="center" indent="5"/>
    </xf>
    <xf numFmtId="4" fontId="46" fillId="0" borderId="3" applyFill="0" applyBorder="0" applyProtection="0">
      <alignment horizontal="right" vertical="center"/>
    </xf>
    <xf numFmtId="0" fontId="47"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78" fontId="0" fillId="0" borderId="0" applyFont="0" applyFill="0" applyBorder="0" applyAlignment="0" applyProtection="0"/>
    <xf numFmtId="3" fontId="48" fillId="0" borderId="4" applyAlignment="0">
      <protection/>
    </xf>
    <xf numFmtId="181" fontId="48" fillId="0" borderId="4">
      <alignment horizontal="right" vertical="center"/>
      <protection/>
    </xf>
    <xf numFmtId="49" fontId="49" fillId="0" borderId="4">
      <alignment horizontal="left" vertical="center"/>
      <protection/>
    </xf>
    <xf numFmtId="179" fontId="50" fillId="0" borderId="4" applyNumberFormat="0" applyFill="0">
      <alignment horizontal="right"/>
      <protection/>
    </xf>
    <xf numFmtId="180" fontId="50" fillId="0" borderId="4">
      <alignment horizontal="right"/>
      <protection/>
    </xf>
    <xf numFmtId="0" fontId="0" fillId="0" borderId="0" applyFon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38" fontId="12" fillId="2" borderId="0" applyNumberFormat="0" applyBorder="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52" fillId="0" borderId="0" applyNumberFormat="0" applyFill="0" applyBorder="0" applyAlignment="0" applyProtection="0"/>
    <xf numFmtId="0" fontId="53" fillId="0" borderId="4">
      <alignment horizontal="left"/>
      <protection/>
    </xf>
    <xf numFmtId="0" fontId="53" fillId="0" borderId="5">
      <alignment horizontal="right" vertical="center"/>
      <protection/>
    </xf>
    <xf numFmtId="0" fontId="54" fillId="0" borderId="4">
      <alignment horizontal="left" vertical="center"/>
      <protection/>
    </xf>
    <xf numFmtId="0" fontId="50" fillId="0" borderId="4">
      <alignment horizontal="left" vertical="center"/>
      <protection/>
    </xf>
    <xf numFmtId="0" fontId="55" fillId="0" borderId="4">
      <alignment horizontal="left"/>
      <protection/>
    </xf>
    <xf numFmtId="0" fontId="55" fillId="3" borderId="0">
      <alignment horizontal="centerContinuous" wrapText="1"/>
      <protection/>
    </xf>
    <xf numFmtId="49" fontId="55" fillId="3" borderId="6">
      <alignment horizontal="left" vertical="center"/>
      <protection/>
    </xf>
    <xf numFmtId="0" fontId="55" fillId="3" borderId="0">
      <alignment horizontal="centerContinuous" vertical="center" wrapText="1"/>
      <protection/>
    </xf>
    <xf numFmtId="0" fontId="2" fillId="0" borderId="0" applyNumberFormat="0" applyFill="0" applyBorder="0" applyAlignment="0" applyProtection="0"/>
    <xf numFmtId="10" fontId="12" fillId="4" borderId="1" applyNumberFormat="0" applyBorder="0" applyAlignment="0" applyProtection="0"/>
    <xf numFmtId="41"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174" fontId="16" fillId="0" borderId="0">
      <alignment/>
      <protection/>
    </xf>
    <xf numFmtId="4" fontId="45" fillId="0" borderId="1" applyFill="0" applyBorder="0" applyProtection="0">
      <alignment horizontal="right" vertical="center"/>
    </xf>
    <xf numFmtId="49" fontId="46" fillId="0" borderId="1" applyNumberFormat="0" applyFill="0" applyBorder="0" applyProtection="0">
      <alignment horizontal="left" vertical="center"/>
    </xf>
    <xf numFmtId="0" fontId="45" fillId="0" borderId="1" applyNumberFormat="0" applyFill="0" applyAlignment="0" applyProtection="0"/>
    <xf numFmtId="0" fontId="3" fillId="2" borderId="0" applyNumberFormat="0" applyFont="0" applyBorder="0" applyAlignment="0" applyProtection="0"/>
    <xf numFmtId="177" fontId="45" fillId="5" borderId="1" applyNumberFormat="0" applyFont="0" applyBorder="0" applyAlignment="0" applyProtection="0"/>
    <xf numFmtId="9" fontId="0" fillId="0" borderId="0" applyFont="0" applyFill="0" applyBorder="0" applyAlignment="0" applyProtection="0"/>
    <xf numFmtId="10" fontId="0" fillId="0" borderId="0" applyFont="0" applyFill="0" applyBorder="0" applyAlignment="0" applyProtection="0"/>
    <xf numFmtId="3" fontId="48" fillId="0" borderId="0">
      <alignment horizontal="left" vertical="center"/>
      <protection/>
    </xf>
    <xf numFmtId="0" fontId="47" fillId="0" borderId="0">
      <alignment horizontal="left" vertical="center"/>
      <protection/>
    </xf>
    <xf numFmtId="0" fontId="3" fillId="0" borderId="0">
      <alignment horizontal="right"/>
      <protection/>
    </xf>
    <xf numFmtId="49" fontId="3" fillId="0" borderId="0">
      <alignment horizontal="center"/>
      <protection/>
    </xf>
    <xf numFmtId="0" fontId="49" fillId="0" borderId="0">
      <alignment horizontal="right"/>
      <protection/>
    </xf>
    <xf numFmtId="0" fontId="3" fillId="0" borderId="0">
      <alignment horizontal="left"/>
      <protection/>
    </xf>
    <xf numFmtId="0" fontId="45" fillId="0" borderId="0">
      <alignment/>
      <protection/>
    </xf>
    <xf numFmtId="49" fontId="48" fillId="0" borderId="0">
      <alignment horizontal="left" vertical="center"/>
      <protection/>
    </xf>
    <xf numFmtId="49" fontId="49" fillId="0" borderId="4">
      <alignment horizontal="left" vertical="center"/>
      <protection/>
    </xf>
    <xf numFmtId="49" fontId="47" fillId="0" borderId="4" applyFill="0">
      <alignment horizontal="left" vertical="center"/>
      <protection/>
    </xf>
    <xf numFmtId="49" fontId="49" fillId="0" borderId="4">
      <alignment horizontal="left"/>
      <protection/>
    </xf>
    <xf numFmtId="179" fontId="48" fillId="0" borderId="0" applyNumberFormat="0">
      <alignment horizontal="right"/>
      <protection/>
    </xf>
    <xf numFmtId="0" fontId="53" fillId="6" borderId="0">
      <alignment horizontal="centerContinuous" vertical="center" wrapText="1"/>
      <protection/>
    </xf>
    <xf numFmtId="0" fontId="53" fillId="0" borderId="7">
      <alignment horizontal="left" vertical="center"/>
      <protection/>
    </xf>
    <xf numFmtId="0" fontId="4" fillId="0" borderId="0">
      <alignment horizontal="left" vertical="top"/>
      <protection/>
    </xf>
    <xf numFmtId="0" fontId="55" fillId="0" borderId="0">
      <alignment horizontal="left"/>
      <protection/>
    </xf>
    <xf numFmtId="0" fontId="5" fillId="0" borderId="0">
      <alignment horizontal="left"/>
      <protection/>
    </xf>
    <xf numFmtId="0" fontId="50" fillId="0" borderId="0">
      <alignment horizontal="left"/>
      <protection/>
    </xf>
    <xf numFmtId="0" fontId="4" fillId="0" borderId="0">
      <alignment horizontal="left" vertical="top"/>
      <protection/>
    </xf>
    <xf numFmtId="0" fontId="5" fillId="0" borderId="0">
      <alignment horizontal="left"/>
      <protection/>
    </xf>
    <xf numFmtId="0" fontId="50" fillId="0" borderId="0">
      <alignment horizontal="left"/>
      <protection/>
    </xf>
    <xf numFmtId="0" fontId="0" fillId="0" borderId="8" applyNumberFormat="0" applyFont="0" applyFill="0" applyAlignment="0" applyProtection="0"/>
    <xf numFmtId="171"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49" fontId="48" fillId="0" borderId="4">
      <alignment horizontal="left"/>
      <protection/>
    </xf>
    <xf numFmtId="0" fontId="53" fillId="0" borderId="5">
      <alignment horizontal="left"/>
      <protection/>
    </xf>
    <xf numFmtId="0" fontId="55" fillId="0" borderId="0">
      <alignment horizontal="left" vertical="center"/>
      <protection/>
    </xf>
    <xf numFmtId="49" fontId="3" fillId="0" borderId="4">
      <alignment horizontal="left"/>
      <protection/>
    </xf>
    <xf numFmtId="0" fontId="45" fillId="0" borderId="0">
      <alignment/>
      <protection/>
    </xf>
  </cellStyleXfs>
  <cellXfs count="685">
    <xf numFmtId="0" fontId="0" fillId="0" borderId="0" xfId="0" applyAlignment="1">
      <alignment/>
    </xf>
    <xf numFmtId="0" fontId="8" fillId="0" borderId="0" xfId="0" applyFont="1" applyAlignment="1">
      <alignment/>
    </xf>
    <xf numFmtId="4" fontId="7" fillId="0" borderId="0"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 fontId="10" fillId="0" borderId="0"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0" fontId="10" fillId="0" borderId="0" xfId="0" applyFont="1" applyFill="1" applyAlignment="1">
      <alignment horizontal="left" vertical="center"/>
    </xf>
    <xf numFmtId="4" fontId="10" fillId="0" borderId="0" xfId="0" applyNumberFormat="1" applyFont="1" applyFill="1" applyBorder="1" applyAlignment="1">
      <alignment horizontal="left" vertical="center" wrapText="1"/>
    </xf>
    <xf numFmtId="0" fontId="0" fillId="0" borderId="0" xfId="0" applyFill="1" applyAlignment="1">
      <alignment/>
    </xf>
    <xf numFmtId="0" fontId="0" fillId="7" borderId="9" xfId="0" applyFill="1" applyBorder="1" applyAlignment="1">
      <alignment/>
    </xf>
    <xf numFmtId="0" fontId="0" fillId="7" borderId="10" xfId="0" applyFill="1" applyBorder="1" applyAlignment="1">
      <alignment/>
    </xf>
    <xf numFmtId="0" fontId="0" fillId="7" borderId="11" xfId="0" applyFill="1" applyBorder="1" applyAlignment="1">
      <alignment/>
    </xf>
    <xf numFmtId="0" fontId="0" fillId="7" borderId="12" xfId="0" applyFill="1" applyBorder="1" applyAlignment="1">
      <alignment/>
    </xf>
    <xf numFmtId="0" fontId="0" fillId="7" borderId="13" xfId="0" applyFill="1" applyBorder="1" applyAlignment="1">
      <alignment/>
    </xf>
    <xf numFmtId="0" fontId="0" fillId="0" borderId="2" xfId="0" applyFont="1" applyFill="1" applyBorder="1" applyAlignment="1">
      <alignment horizontal="center"/>
    </xf>
    <xf numFmtId="0" fontId="0" fillId="0" borderId="14" xfId="0" applyFill="1" applyBorder="1" applyAlignment="1">
      <alignment horizontal="left" wrapText="1"/>
    </xf>
    <xf numFmtId="0" fontId="0" fillId="7" borderId="15" xfId="0" applyFill="1" applyBorder="1" applyAlignment="1">
      <alignment/>
    </xf>
    <xf numFmtId="0" fontId="0" fillId="7" borderId="16" xfId="0" applyFill="1" applyBorder="1" applyAlignment="1">
      <alignment/>
    </xf>
    <xf numFmtId="0" fontId="0" fillId="7" borderId="17" xfId="0" applyFill="1" applyBorder="1" applyAlignment="1">
      <alignment/>
    </xf>
    <xf numFmtId="0" fontId="24" fillId="0" borderId="0" xfId="0" applyFont="1" applyFill="1" applyAlignment="1">
      <alignment/>
    </xf>
    <xf numFmtId="0" fontId="0" fillId="8" borderId="0" xfId="0" applyFill="1" applyAlignment="1">
      <alignment/>
    </xf>
    <xf numFmtId="0" fontId="24" fillId="0" borderId="0" xfId="0" applyFont="1" applyFill="1" applyBorder="1" applyAlignment="1">
      <alignment/>
    </xf>
    <xf numFmtId="0" fontId="34" fillId="2" borderId="0" xfId="0" applyFont="1" applyFill="1" applyBorder="1" applyAlignment="1">
      <alignment/>
    </xf>
    <xf numFmtId="0" fontId="38" fillId="4" borderId="0" xfId="0" applyFont="1" applyFill="1" applyAlignment="1" applyProtection="1">
      <alignment/>
      <protection/>
    </xf>
    <xf numFmtId="0" fontId="38" fillId="4" borderId="0" xfId="0" applyFont="1" applyFill="1" applyAlignment="1" applyProtection="1">
      <alignment/>
      <protection locked="0"/>
    </xf>
    <xf numFmtId="0" fontId="38" fillId="2" borderId="18" xfId="0" applyFont="1" applyFill="1" applyBorder="1" applyAlignment="1" applyProtection="1">
      <alignment/>
      <protection/>
    </xf>
    <xf numFmtId="0" fontId="38" fillId="2" borderId="19" xfId="0" applyFont="1" applyFill="1" applyBorder="1" applyAlignment="1" applyProtection="1">
      <alignment/>
      <protection/>
    </xf>
    <xf numFmtId="0" fontId="38" fillId="2" borderId="19" xfId="0" applyFont="1" applyFill="1" applyBorder="1" applyAlignment="1" applyProtection="1">
      <alignment/>
      <protection locked="0"/>
    </xf>
    <xf numFmtId="0" fontId="38" fillId="4" borderId="20" xfId="0" applyFont="1" applyFill="1" applyBorder="1" applyAlignment="1" applyProtection="1">
      <alignment/>
      <protection locked="0"/>
    </xf>
    <xf numFmtId="0" fontId="38" fillId="2" borderId="20" xfId="0" applyFont="1" applyFill="1" applyBorder="1" applyAlignment="1" applyProtection="1">
      <alignment horizontal="center" vertical="center"/>
      <protection/>
    </xf>
    <xf numFmtId="2" fontId="38" fillId="2" borderId="0" xfId="0" applyNumberFormat="1" applyFont="1" applyFill="1" applyBorder="1" applyAlignment="1" applyProtection="1">
      <alignment horizontal="center" vertical="center"/>
      <protection/>
    </xf>
    <xf numFmtId="0" fontId="38" fillId="2" borderId="0" xfId="0" applyFont="1" applyFill="1" applyBorder="1" applyAlignment="1" applyProtection="1">
      <alignment/>
      <protection locked="0"/>
    </xf>
    <xf numFmtId="0" fontId="36" fillId="2" borderId="0" xfId="0" applyFont="1" applyFill="1" applyBorder="1" applyAlignment="1" applyProtection="1">
      <alignment horizontal="justify" vertical="justify"/>
      <protection/>
    </xf>
    <xf numFmtId="0" fontId="34" fillId="2" borderId="0" xfId="0" applyFont="1" applyFill="1" applyBorder="1" applyAlignment="1" applyProtection="1">
      <alignment horizontal="left" vertical="center"/>
      <protection/>
    </xf>
    <xf numFmtId="0" fontId="40" fillId="9" borderId="1" xfId="0" applyFont="1" applyFill="1" applyBorder="1" applyAlignment="1" applyProtection="1">
      <alignment horizontal="center" vertical="center"/>
      <protection/>
    </xf>
    <xf numFmtId="0" fontId="40" fillId="9" borderId="1" xfId="0" applyFont="1" applyFill="1" applyBorder="1" applyAlignment="1" applyProtection="1">
      <alignment horizontal="center" vertical="center" wrapText="1"/>
      <protection/>
    </xf>
    <xf numFmtId="0" fontId="40" fillId="2" borderId="0" xfId="0" applyFont="1" applyFill="1" applyBorder="1" applyAlignment="1" applyProtection="1">
      <alignment horizontal="center" vertical="center" wrapText="1"/>
      <protection/>
    </xf>
    <xf numFmtId="0" fontId="38" fillId="7" borderId="1" xfId="0" applyFont="1" applyFill="1" applyBorder="1" applyAlignment="1" applyProtection="1">
      <alignment horizontal="center" vertical="center" wrapText="1"/>
      <protection/>
    </xf>
    <xf numFmtId="2" fontId="38" fillId="7" borderId="1" xfId="0" applyNumberFormat="1" applyFont="1" applyFill="1" applyBorder="1" applyAlignment="1">
      <alignment horizontal="center" vertical="center"/>
    </xf>
    <xf numFmtId="2" fontId="38" fillId="7" borderId="1" xfId="0" applyNumberFormat="1" applyFont="1" applyFill="1" applyBorder="1" applyAlignment="1" applyProtection="1">
      <alignment horizontal="center" vertical="center"/>
      <protection/>
    </xf>
    <xf numFmtId="0" fontId="38" fillId="2" borderId="0" xfId="0" applyFont="1" applyFill="1" applyBorder="1" applyAlignment="1" applyProtection="1">
      <alignment horizontal="center" vertical="center"/>
      <protection/>
    </xf>
    <xf numFmtId="0" fontId="38" fillId="2" borderId="0" xfId="0" applyFont="1" applyFill="1" applyBorder="1" applyAlignment="1" applyProtection="1">
      <alignment horizontal="left" vertical="center"/>
      <protection/>
    </xf>
    <xf numFmtId="0" fontId="40" fillId="2" borderId="20" xfId="0" applyFont="1" applyFill="1" applyBorder="1" applyAlignment="1" applyProtection="1">
      <alignment horizontal="center" vertical="center" wrapText="1"/>
      <protection/>
    </xf>
    <xf numFmtId="2" fontId="38" fillId="2" borderId="20" xfId="0" applyNumberFormat="1" applyFont="1" applyFill="1" applyBorder="1" applyAlignment="1" applyProtection="1">
      <alignment horizontal="center" vertical="center"/>
      <protection/>
    </xf>
    <xf numFmtId="0" fontId="38" fillId="2" borderId="20" xfId="0" applyFont="1" applyFill="1" applyBorder="1" applyAlignment="1" applyProtection="1">
      <alignment/>
      <protection/>
    </xf>
    <xf numFmtId="0" fontId="38" fillId="2" borderId="0" xfId="0" applyFont="1" applyFill="1" applyBorder="1" applyAlignment="1" applyProtection="1">
      <alignment/>
      <protection/>
    </xf>
    <xf numFmtId="0" fontId="38" fillId="2" borderId="0" xfId="0" applyFont="1" applyFill="1" applyBorder="1" applyAlignment="1" applyProtection="1">
      <alignment horizontal="left" vertical="top"/>
      <protection/>
    </xf>
    <xf numFmtId="0" fontId="38" fillId="2" borderId="20" xfId="0" applyFont="1" applyFill="1" applyBorder="1" applyAlignment="1" applyProtection="1">
      <alignment/>
      <protection locked="0"/>
    </xf>
    <xf numFmtId="0" fontId="37" fillId="2" borderId="0" xfId="0" applyFont="1" applyFill="1" applyBorder="1" applyAlignment="1" applyProtection="1">
      <alignment/>
      <protection/>
    </xf>
    <xf numFmtId="0" fontId="40" fillId="2" borderId="20" xfId="0" applyFont="1" applyFill="1" applyBorder="1" applyAlignment="1" applyProtection="1">
      <alignment/>
      <protection/>
    </xf>
    <xf numFmtId="0" fontId="38" fillId="7" borderId="1" xfId="0" applyFont="1" applyFill="1" applyBorder="1" applyAlignment="1" applyProtection="1">
      <alignment horizontal="center" vertical="center"/>
      <protection/>
    </xf>
    <xf numFmtId="2" fontId="38" fillId="7" borderId="1" xfId="0" applyNumberFormat="1" applyFont="1" applyFill="1" applyBorder="1" applyAlignment="1" applyProtection="1">
      <alignment horizontal="center" vertical="center" wrapText="1"/>
      <protection/>
    </xf>
    <xf numFmtId="0" fontId="38" fillId="2" borderId="0" xfId="0" applyFont="1" applyFill="1" applyBorder="1" applyAlignment="1" applyProtection="1">
      <alignment wrapText="1"/>
      <protection/>
    </xf>
    <xf numFmtId="0" fontId="0" fillId="2" borderId="0" xfId="0" applyFill="1" applyBorder="1" applyAlignment="1">
      <alignment wrapText="1"/>
    </xf>
    <xf numFmtId="2" fontId="38" fillId="2" borderId="20" xfId="0" applyNumberFormat="1" applyFont="1" applyFill="1" applyBorder="1" applyAlignment="1" applyProtection="1">
      <alignment horizontal="center" vertical="center" wrapText="1"/>
      <protection/>
    </xf>
    <xf numFmtId="0" fontId="40" fillId="9" borderId="21" xfId="0" applyFont="1" applyFill="1" applyBorder="1" applyAlignment="1" applyProtection="1">
      <alignment horizontal="center" vertical="center"/>
      <protection/>
    </xf>
    <xf numFmtId="0" fontId="40" fillId="10" borderId="21" xfId="0" applyFont="1" applyFill="1" applyBorder="1" applyAlignment="1" applyProtection="1">
      <alignment horizontal="center" vertical="center" wrapText="1"/>
      <protection/>
    </xf>
    <xf numFmtId="0" fontId="38" fillId="7" borderId="1" xfId="0" applyFont="1" applyFill="1" applyBorder="1" applyAlignment="1" applyProtection="1">
      <alignment vertical="top" wrapText="1"/>
      <protection/>
    </xf>
    <xf numFmtId="3" fontId="38" fillId="7" borderId="1" xfId="0" applyNumberFormat="1" applyFont="1" applyFill="1" applyBorder="1" applyAlignment="1" applyProtection="1">
      <alignment horizontal="center" vertical="top" wrapText="1"/>
      <protection/>
    </xf>
    <xf numFmtId="4" fontId="38" fillId="7" borderId="1" xfId="0" applyNumberFormat="1" applyFont="1" applyFill="1" applyBorder="1" applyAlignment="1" applyProtection="1">
      <alignment horizontal="center" vertical="top" wrapText="1"/>
      <protection/>
    </xf>
    <xf numFmtId="2" fontId="38" fillId="7" borderId="1" xfId="0" applyNumberFormat="1" applyFont="1" applyFill="1" applyBorder="1" applyAlignment="1" applyProtection="1">
      <alignment horizontal="center"/>
      <protection/>
    </xf>
    <xf numFmtId="0" fontId="38" fillId="2" borderId="0" xfId="0" applyFont="1" applyFill="1" applyBorder="1" applyAlignment="1" applyProtection="1">
      <alignment horizontal="left" vertical="top" wrapText="1"/>
      <protection/>
    </xf>
    <xf numFmtId="0" fontId="40" fillId="9" borderId="21" xfId="0" applyFont="1" applyFill="1" applyBorder="1" applyAlignment="1" applyProtection="1">
      <alignment horizontal="center" vertical="center" wrapText="1"/>
      <protection/>
    </xf>
    <xf numFmtId="2" fontId="38" fillId="2" borderId="0" xfId="0" applyNumberFormat="1" applyFont="1" applyFill="1" applyBorder="1" applyAlignment="1" applyProtection="1">
      <alignment horizontal="center"/>
      <protection/>
    </xf>
    <xf numFmtId="0" fontId="38" fillId="2" borderId="22" xfId="0" applyFont="1" applyFill="1" applyBorder="1" applyAlignment="1" applyProtection="1">
      <alignment/>
      <protection locked="0"/>
    </xf>
    <xf numFmtId="0" fontId="38" fillId="2" borderId="6" xfId="0" applyFont="1" applyFill="1" applyBorder="1" applyAlignment="1" applyProtection="1">
      <alignment/>
      <protection locked="0"/>
    </xf>
    <xf numFmtId="0" fontId="42" fillId="0" borderId="0" xfId="0" applyFont="1" applyAlignment="1">
      <alignment/>
    </xf>
    <xf numFmtId="0" fontId="42" fillId="0" borderId="0" xfId="0" applyFont="1" applyAlignment="1">
      <alignment horizontal="center" wrapText="1"/>
    </xf>
    <xf numFmtId="0" fontId="42" fillId="8" borderId="1" xfId="0" applyFont="1" applyFill="1" applyBorder="1" applyAlignment="1">
      <alignment/>
    </xf>
    <xf numFmtId="0" fontId="42" fillId="0" borderId="1" xfId="0" applyFont="1" applyBorder="1" applyAlignment="1">
      <alignment/>
    </xf>
    <xf numFmtId="0" fontId="10" fillId="0" borderId="0" xfId="0" applyNumberFormat="1" applyFont="1" applyFill="1" applyBorder="1" applyAlignment="1">
      <alignment horizontal="left" vertical="center"/>
    </xf>
    <xf numFmtId="166" fontId="42" fillId="0" borderId="1" xfId="0" applyNumberFormat="1" applyFont="1" applyBorder="1" applyAlignment="1">
      <alignment horizontal="center"/>
    </xf>
    <xf numFmtId="2" fontId="42" fillId="0" borderId="1" xfId="0" applyNumberFormat="1" applyFont="1" applyBorder="1" applyAlignment="1">
      <alignment horizontal="center"/>
    </xf>
    <xf numFmtId="0" fontId="42" fillId="0" borderId="0" xfId="0" applyFont="1" applyAlignment="1">
      <alignment horizontal="center"/>
    </xf>
    <xf numFmtId="0" fontId="0" fillId="8" borderId="0" xfId="0" applyFill="1" applyAlignment="1">
      <alignment horizontal="center"/>
    </xf>
    <xf numFmtId="0" fontId="8" fillId="0" borderId="23" xfId="0" applyFont="1" applyFill="1" applyBorder="1" applyAlignment="1">
      <alignment/>
    </xf>
    <xf numFmtId="0" fontId="8" fillId="0" borderId="10" xfId="0" applyFont="1" applyFill="1" applyBorder="1" applyAlignment="1">
      <alignment horizontal="centerContinuous"/>
    </xf>
    <xf numFmtId="0" fontId="0" fillId="0" borderId="10" xfId="0" applyFont="1" applyFill="1" applyBorder="1" applyAlignment="1">
      <alignment horizontal="centerContinuous"/>
    </xf>
    <xf numFmtId="0" fontId="0" fillId="0" borderId="24" xfId="0" applyFont="1" applyFill="1" applyBorder="1" applyAlignment="1">
      <alignment horizontal="centerContinuous"/>
    </xf>
    <xf numFmtId="0" fontId="0" fillId="0" borderId="11" xfId="0" applyFont="1" applyFill="1" applyBorder="1" applyAlignment="1">
      <alignment horizontal="centerContinuous"/>
    </xf>
    <xf numFmtId="0" fontId="8" fillId="0" borderId="25" xfId="0" applyFont="1" applyFill="1" applyBorder="1" applyAlignment="1">
      <alignment/>
    </xf>
    <xf numFmtId="0" fontId="8" fillId="0" borderId="16" xfId="0" applyFont="1" applyFill="1" applyBorder="1" applyAlignment="1">
      <alignment horizontal="center"/>
    </xf>
    <xf numFmtId="0" fontId="8" fillId="0" borderId="26" xfId="0" applyFont="1" applyFill="1" applyBorder="1" applyAlignment="1">
      <alignment horizontal="center"/>
    </xf>
    <xf numFmtId="0" fontId="30" fillId="0" borderId="27" xfId="0" applyFont="1" applyFill="1" applyBorder="1" applyAlignment="1">
      <alignment/>
    </xf>
    <xf numFmtId="0" fontId="12" fillId="0" borderId="0" xfId="0" applyFont="1" applyFill="1" applyBorder="1" applyAlignment="1">
      <alignment horizontal="center"/>
    </xf>
    <xf numFmtId="0" fontId="12" fillId="0" borderId="28" xfId="0" applyFont="1" applyFill="1" applyBorder="1" applyAlignment="1">
      <alignment horizontal="center"/>
    </xf>
    <xf numFmtId="0" fontId="12" fillId="0" borderId="13" xfId="0" applyFont="1" applyFill="1" applyBorder="1" applyAlignment="1">
      <alignment horizontal="center"/>
    </xf>
    <xf numFmtId="0" fontId="0" fillId="8" borderId="0" xfId="0" applyFill="1" applyBorder="1" applyAlignment="1">
      <alignment/>
    </xf>
    <xf numFmtId="0" fontId="12" fillId="0" borderId="27" xfId="0" applyFont="1" applyFill="1" applyBorder="1" applyAlignment="1">
      <alignment/>
    </xf>
    <xf numFmtId="164" fontId="12" fillId="0" borderId="28" xfId="0" applyNumberFormat="1" applyFont="1" applyFill="1" applyBorder="1" applyAlignment="1">
      <alignment horizontal="center"/>
    </xf>
    <xf numFmtId="16" fontId="12" fillId="0" borderId="0" xfId="0" applyNumberFormat="1" applyFont="1" applyFill="1" applyBorder="1" applyAlignment="1">
      <alignment horizontal="center"/>
    </xf>
    <xf numFmtId="3" fontId="12" fillId="0" borderId="0" xfId="19" applyNumberFormat="1" applyFont="1" applyFill="1" applyBorder="1" applyAlignment="1">
      <alignment horizontal="center"/>
    </xf>
    <xf numFmtId="3" fontId="12" fillId="0" borderId="13" xfId="19" applyNumberFormat="1" applyFont="1" applyFill="1" applyBorder="1" applyAlignment="1">
      <alignment horizontal="center"/>
    </xf>
    <xf numFmtId="0" fontId="30" fillId="8" borderId="0" xfId="0" applyFont="1" applyFill="1" applyAlignment="1">
      <alignment/>
    </xf>
    <xf numFmtId="49" fontId="12" fillId="0" borderId="0" xfId="0" applyNumberFormat="1" applyFont="1" applyFill="1" applyBorder="1" applyAlignment="1">
      <alignment horizontal="center"/>
    </xf>
    <xf numFmtId="2" fontId="12" fillId="8" borderId="0" xfId="0" applyNumberFormat="1" applyFont="1" applyFill="1" applyBorder="1" applyAlignment="1" applyProtection="1">
      <alignment horizontal="left" vertical="center"/>
      <protection/>
    </xf>
    <xf numFmtId="0" fontId="12" fillId="8" borderId="0" xfId="0" applyFont="1" applyFill="1" applyAlignment="1">
      <alignment horizontal="left"/>
    </xf>
    <xf numFmtId="0" fontId="12" fillId="0" borderId="29" xfId="0" applyFont="1" applyFill="1" applyBorder="1" applyAlignment="1">
      <alignment/>
    </xf>
    <xf numFmtId="49" fontId="12" fillId="0" borderId="6" xfId="0" applyNumberFormat="1" applyFont="1" applyFill="1" applyBorder="1" applyAlignment="1">
      <alignment horizontal="center"/>
    </xf>
    <xf numFmtId="0" fontId="12" fillId="0" borderId="6" xfId="0" applyFont="1" applyFill="1" applyBorder="1" applyAlignment="1">
      <alignment horizontal="center"/>
    </xf>
    <xf numFmtId="164" fontId="12" fillId="0" borderId="30" xfId="0" applyNumberFormat="1" applyFont="1" applyFill="1" applyBorder="1" applyAlignment="1">
      <alignment horizontal="center"/>
    </xf>
    <xf numFmtId="16" fontId="12" fillId="0" borderId="6" xfId="0" applyNumberFormat="1" applyFont="1" applyFill="1" applyBorder="1" applyAlignment="1">
      <alignment horizontal="center"/>
    </xf>
    <xf numFmtId="3" fontId="12" fillId="0" borderId="6" xfId="19" applyNumberFormat="1" applyFont="1" applyFill="1" applyBorder="1" applyAlignment="1">
      <alignment horizontal="center"/>
    </xf>
    <xf numFmtId="3" fontId="12" fillId="0" borderId="31" xfId="19" applyNumberFormat="1" applyFont="1" applyFill="1" applyBorder="1" applyAlignment="1">
      <alignment horizontal="center"/>
    </xf>
    <xf numFmtId="165" fontId="12" fillId="0" borderId="0" xfId="19" applyNumberFormat="1" applyFont="1" applyFill="1" applyBorder="1" applyAlignment="1">
      <alignment horizontal="center"/>
    </xf>
    <xf numFmtId="165" fontId="12" fillId="0" borderId="13" xfId="19" applyNumberFormat="1" applyFont="1" applyFill="1" applyBorder="1" applyAlignment="1">
      <alignment horizontal="center"/>
    </xf>
    <xf numFmtId="0" fontId="12" fillId="0" borderId="27" xfId="0" applyFont="1" applyFill="1" applyBorder="1" applyAlignment="1">
      <alignment horizontal="left" indent="1"/>
    </xf>
    <xf numFmtId="16" fontId="12" fillId="0" borderId="6" xfId="0" applyNumberFormat="1" applyFont="1" applyFill="1" applyBorder="1" applyAlignment="1" quotePrefix="1">
      <alignment horizontal="center"/>
    </xf>
    <xf numFmtId="165" fontId="12" fillId="0" borderId="31" xfId="19" applyNumberFormat="1" applyFont="1" applyFill="1" applyBorder="1" applyAlignment="1">
      <alignment horizontal="center"/>
    </xf>
    <xf numFmtId="16" fontId="12" fillId="0" borderId="0" xfId="0" applyNumberFormat="1" applyFont="1" applyFill="1" applyBorder="1" applyAlignment="1" quotePrefix="1">
      <alignment horizontal="center"/>
    </xf>
    <xf numFmtId="0" fontId="12" fillId="0" borderId="0" xfId="0" applyFont="1" applyFill="1" applyBorder="1" applyAlignment="1" quotePrefix="1">
      <alignment horizontal="center"/>
    </xf>
    <xf numFmtId="0" fontId="12" fillId="0" borderId="25" xfId="0" applyFont="1" applyFill="1" applyBorder="1" applyAlignment="1">
      <alignment/>
    </xf>
    <xf numFmtId="0" fontId="12" fillId="0" borderId="16" xfId="0" applyFont="1" applyFill="1" applyBorder="1" applyAlignment="1">
      <alignment horizontal="center"/>
    </xf>
    <xf numFmtId="164" fontId="12" fillId="0" borderId="26" xfId="0" applyNumberFormat="1" applyFont="1" applyFill="1" applyBorder="1" applyAlignment="1">
      <alignment horizontal="center"/>
    </xf>
    <xf numFmtId="16" fontId="12" fillId="0" borderId="16" xfId="0" applyNumberFormat="1" applyFont="1" applyFill="1" applyBorder="1" applyAlignment="1">
      <alignment horizontal="center"/>
    </xf>
    <xf numFmtId="3" fontId="12" fillId="0" borderId="16" xfId="19" applyNumberFormat="1" applyFont="1" applyFill="1" applyBorder="1" applyAlignment="1">
      <alignment horizontal="center"/>
    </xf>
    <xf numFmtId="3" fontId="12" fillId="0" borderId="17" xfId="19" applyNumberFormat="1" applyFont="1" applyFill="1" applyBorder="1" applyAlignment="1">
      <alignment horizontal="center"/>
    </xf>
    <xf numFmtId="0" fontId="58" fillId="8" borderId="0" xfId="0" applyFont="1" applyFill="1" applyAlignment="1">
      <alignment/>
    </xf>
    <xf numFmtId="0" fontId="8" fillId="8" borderId="0" xfId="0" applyFont="1" applyFill="1" applyAlignment="1">
      <alignment/>
    </xf>
    <xf numFmtId="0" fontId="0" fillId="8" borderId="0" xfId="0" applyFill="1" applyAlignment="1">
      <alignment wrapText="1"/>
    </xf>
    <xf numFmtId="0" fontId="6" fillId="8" borderId="0" xfId="0" applyFont="1" applyFill="1" applyAlignment="1">
      <alignment/>
    </xf>
    <xf numFmtId="0" fontId="0" fillId="8" borderId="0" xfId="0" applyFont="1" applyFill="1" applyAlignment="1">
      <alignment/>
    </xf>
    <xf numFmtId="0" fontId="8" fillId="0" borderId="9" xfId="0" applyFont="1" applyFill="1" applyBorder="1" applyAlignment="1">
      <alignment/>
    </xf>
    <xf numFmtId="0" fontId="8" fillId="0" borderId="15" xfId="0" applyFont="1" applyFill="1" applyBorder="1" applyAlignment="1">
      <alignment/>
    </xf>
    <xf numFmtId="0" fontId="8" fillId="0" borderId="17" xfId="0" applyFont="1" applyFill="1" applyBorder="1" applyAlignment="1">
      <alignment horizontal="center"/>
    </xf>
    <xf numFmtId="0" fontId="30" fillId="0" borderId="12" xfId="0" applyFont="1" applyFill="1" applyBorder="1" applyAlignment="1">
      <alignment/>
    </xf>
    <xf numFmtId="0" fontId="30" fillId="0" borderId="0" xfId="0" applyFont="1" applyFill="1" applyBorder="1" applyAlignment="1">
      <alignment/>
    </xf>
    <xf numFmtId="0" fontId="12" fillId="0" borderId="12" xfId="0" applyFont="1" applyFill="1" applyBorder="1" applyAlignment="1">
      <alignment/>
    </xf>
    <xf numFmtId="0" fontId="12" fillId="2" borderId="0" xfId="0" applyFont="1" applyFill="1" applyBorder="1" applyAlignment="1">
      <alignment/>
    </xf>
    <xf numFmtId="0" fontId="12" fillId="2" borderId="0" xfId="0" applyFont="1" applyFill="1" applyBorder="1" applyAlignment="1">
      <alignment horizontal="center"/>
    </xf>
    <xf numFmtId="16" fontId="12" fillId="2" borderId="0" xfId="0" applyNumberFormat="1" applyFont="1" applyFill="1" applyBorder="1" applyAlignment="1">
      <alignment horizontal="center"/>
    </xf>
    <xf numFmtId="3" fontId="12" fillId="2" borderId="13" xfId="19" applyNumberFormat="1" applyFont="1" applyFill="1" applyBorder="1" applyAlignment="1">
      <alignment horizontal="center"/>
    </xf>
    <xf numFmtId="49" fontId="12" fillId="2" borderId="0" xfId="0" applyNumberFormat="1" applyFont="1" applyFill="1" applyBorder="1" applyAlignment="1">
      <alignment horizontal="center"/>
    </xf>
    <xf numFmtId="0" fontId="12" fillId="0" borderId="32" xfId="0" applyFont="1" applyFill="1" applyBorder="1" applyAlignment="1">
      <alignment/>
    </xf>
    <xf numFmtId="0" fontId="12" fillId="2" borderId="6" xfId="0" applyFont="1" applyFill="1" applyBorder="1" applyAlignment="1">
      <alignment/>
    </xf>
    <xf numFmtId="49" fontId="12" fillId="2" borderId="6" xfId="0" applyNumberFormat="1" applyFont="1" applyFill="1" applyBorder="1" applyAlignment="1">
      <alignment horizontal="center"/>
    </xf>
    <xf numFmtId="0" fontId="12" fillId="2" borderId="6" xfId="0" applyFont="1" applyFill="1" applyBorder="1" applyAlignment="1">
      <alignment horizontal="center"/>
    </xf>
    <xf numFmtId="16" fontId="12" fillId="2" borderId="6" xfId="0" applyNumberFormat="1" applyFont="1" applyFill="1" applyBorder="1" applyAlignment="1">
      <alignment horizontal="center"/>
    </xf>
    <xf numFmtId="3" fontId="12" fillId="2" borderId="31" xfId="19" applyNumberFormat="1" applyFont="1" applyFill="1" applyBorder="1" applyAlignment="1">
      <alignment horizontal="center"/>
    </xf>
    <xf numFmtId="164" fontId="12" fillId="0" borderId="0" xfId="0" applyNumberFormat="1" applyFont="1" applyFill="1" applyBorder="1" applyAlignment="1">
      <alignment horizontal="center"/>
    </xf>
    <xf numFmtId="166" fontId="12" fillId="0" borderId="0" xfId="0" applyNumberFormat="1" applyFont="1" applyFill="1" applyBorder="1" applyAlignment="1">
      <alignment horizontal="center"/>
    </xf>
    <xf numFmtId="0" fontId="12" fillId="2" borderId="13" xfId="0" applyFont="1" applyFill="1" applyBorder="1" applyAlignment="1">
      <alignment horizontal="center"/>
    </xf>
    <xf numFmtId="166" fontId="0" fillId="8" borderId="0" xfId="0" applyNumberFormat="1" applyFill="1" applyAlignment="1">
      <alignment horizontal="center"/>
    </xf>
    <xf numFmtId="2" fontId="12" fillId="0" borderId="0" xfId="0" applyNumberFormat="1" applyFont="1" applyFill="1" applyBorder="1" applyAlignment="1">
      <alignment horizontal="center"/>
    </xf>
    <xf numFmtId="2" fontId="12" fillId="2" borderId="0" xfId="0" applyNumberFormat="1" applyFont="1" applyFill="1" applyBorder="1" applyAlignment="1">
      <alignment horizontal="center"/>
    </xf>
    <xf numFmtId="2" fontId="12" fillId="2" borderId="13" xfId="0" applyNumberFormat="1" applyFont="1" applyFill="1" applyBorder="1" applyAlignment="1">
      <alignment horizontal="center"/>
    </xf>
    <xf numFmtId="0" fontId="12" fillId="0" borderId="12" xfId="0" applyFont="1" applyFill="1" applyBorder="1" applyAlignment="1">
      <alignment horizontal="left" indent="1"/>
    </xf>
    <xf numFmtId="2" fontId="12" fillId="0" borderId="6" xfId="0" applyNumberFormat="1" applyFont="1" applyFill="1" applyBorder="1" applyAlignment="1">
      <alignment horizontal="center"/>
    </xf>
    <xf numFmtId="164" fontId="12" fillId="0" borderId="31" xfId="19" applyNumberFormat="1" applyFont="1" applyFill="1" applyBorder="1" applyAlignment="1">
      <alignment horizontal="center"/>
    </xf>
    <xf numFmtId="0" fontId="12" fillId="0" borderId="0" xfId="0" applyFont="1" applyFill="1" applyBorder="1" applyAlignment="1">
      <alignment/>
    </xf>
    <xf numFmtId="164" fontId="12" fillId="0" borderId="13" xfId="19" applyNumberFormat="1" applyFont="1" applyFill="1" applyBorder="1" applyAlignment="1">
      <alignment horizontal="center"/>
    </xf>
    <xf numFmtId="164" fontId="0" fillId="8" borderId="0" xfId="0" applyNumberFormat="1" applyFill="1" applyAlignment="1">
      <alignment/>
    </xf>
    <xf numFmtId="0" fontId="12" fillId="2" borderId="0" xfId="0" applyFont="1" applyFill="1" applyBorder="1" applyAlignment="1">
      <alignment horizontal="left" indent="1"/>
    </xf>
    <xf numFmtId="0" fontId="60" fillId="2" borderId="0" xfId="0" applyFont="1" applyFill="1" applyBorder="1" applyAlignment="1">
      <alignment/>
    </xf>
    <xf numFmtId="0" fontId="60" fillId="0" borderId="0" xfId="0" applyFont="1" applyFill="1" applyBorder="1" applyAlignment="1">
      <alignment horizontal="center"/>
    </xf>
    <xf numFmtId="164" fontId="60" fillId="0" borderId="0" xfId="0" applyNumberFormat="1" applyFont="1" applyFill="1" applyBorder="1" applyAlignment="1">
      <alignment horizontal="center"/>
    </xf>
    <xf numFmtId="16" fontId="60" fillId="0" borderId="0" xfId="0" applyNumberFormat="1" applyFont="1" applyFill="1" applyBorder="1" applyAlignment="1">
      <alignment horizontal="center"/>
    </xf>
    <xf numFmtId="3" fontId="60" fillId="0" borderId="13" xfId="19" applyNumberFormat="1" applyFont="1" applyFill="1" applyBorder="1" applyAlignment="1">
      <alignment horizontal="center"/>
    </xf>
    <xf numFmtId="0" fontId="61" fillId="8" borderId="0" xfId="0" applyFont="1" applyFill="1" applyAlignment="1">
      <alignment/>
    </xf>
    <xf numFmtId="16" fontId="12" fillId="2" borderId="6" xfId="0" applyNumberFormat="1" applyFont="1" applyFill="1" applyBorder="1" applyAlignment="1" quotePrefix="1">
      <alignment horizontal="center"/>
    </xf>
    <xf numFmtId="0" fontId="60" fillId="2" borderId="0" xfId="0" applyFont="1" applyFill="1" applyBorder="1" applyAlignment="1">
      <alignment horizontal="center"/>
    </xf>
    <xf numFmtId="16" fontId="60" fillId="2" borderId="0" xfId="0" applyNumberFormat="1" applyFont="1" applyFill="1" applyBorder="1" applyAlignment="1">
      <alignment horizontal="center"/>
    </xf>
    <xf numFmtId="3" fontId="60" fillId="2" borderId="13" xfId="19" applyNumberFormat="1" applyFont="1" applyFill="1" applyBorder="1" applyAlignment="1">
      <alignment horizontal="center"/>
    </xf>
    <xf numFmtId="16" fontId="60" fillId="2" borderId="0" xfId="0" applyNumberFormat="1" applyFont="1" applyFill="1" applyBorder="1" applyAlignment="1" quotePrefix="1">
      <alignment horizontal="center"/>
    </xf>
    <xf numFmtId="0" fontId="60" fillId="2" borderId="0" xfId="0" applyFont="1" applyFill="1" applyBorder="1" applyAlignment="1" quotePrefix="1">
      <alignment horizontal="center"/>
    </xf>
    <xf numFmtId="166" fontId="61" fillId="8" borderId="0" xfId="0" applyNumberFormat="1" applyFont="1" applyFill="1" applyAlignment="1">
      <alignment/>
    </xf>
    <xf numFmtId="0" fontId="12" fillId="0" borderId="15" xfId="0" applyFont="1" applyFill="1" applyBorder="1" applyAlignment="1">
      <alignment/>
    </xf>
    <xf numFmtId="0" fontId="12" fillId="2" borderId="16" xfId="0" applyFont="1" applyFill="1" applyBorder="1" applyAlignment="1">
      <alignment/>
    </xf>
    <xf numFmtId="2" fontId="12" fillId="0" borderId="16" xfId="0" applyNumberFormat="1" applyFont="1" applyFill="1" applyBorder="1" applyAlignment="1">
      <alignment horizontal="center"/>
    </xf>
    <xf numFmtId="164" fontId="12" fillId="0" borderId="17" xfId="19" applyNumberFormat="1" applyFont="1" applyFill="1" applyBorder="1" applyAlignment="1">
      <alignment horizontal="center"/>
    </xf>
    <xf numFmtId="0" fontId="0" fillId="8" borderId="0" xfId="0" applyFill="1" applyBorder="1" applyAlignment="1">
      <alignment horizontal="center"/>
    </xf>
    <xf numFmtId="0" fontId="30" fillId="0" borderId="9" xfId="0" applyFont="1" applyFill="1" applyBorder="1" applyAlignment="1">
      <alignment/>
    </xf>
    <xf numFmtId="0" fontId="8" fillId="0" borderId="33" xfId="0" applyFont="1" applyFill="1" applyBorder="1" applyAlignment="1">
      <alignment horizontal="centerContinuous"/>
    </xf>
    <xf numFmtId="0" fontId="0" fillId="0" borderId="34" xfId="0" applyFont="1" applyFill="1" applyBorder="1" applyAlignment="1">
      <alignment horizontal="centerContinuous"/>
    </xf>
    <xf numFmtId="0" fontId="8" fillId="0" borderId="35" xfId="0" applyFont="1" applyFill="1" applyBorder="1" applyAlignment="1">
      <alignment horizontal="center"/>
    </xf>
    <xf numFmtId="0" fontId="12" fillId="0" borderId="20" xfId="0" applyFont="1" applyFill="1" applyBorder="1" applyAlignment="1">
      <alignment horizontal="center"/>
    </xf>
    <xf numFmtId="16" fontId="12" fillId="0" borderId="20" xfId="0" applyNumberFormat="1" applyFont="1" applyFill="1" applyBorder="1" applyAlignment="1">
      <alignment horizontal="center"/>
    </xf>
    <xf numFmtId="1" fontId="12" fillId="0" borderId="0" xfId="0" applyNumberFormat="1" applyFont="1" applyFill="1" applyBorder="1" applyAlignment="1">
      <alignment horizontal="center"/>
    </xf>
    <xf numFmtId="164" fontId="12" fillId="0" borderId="13" xfId="0" applyNumberFormat="1" applyFont="1" applyFill="1" applyBorder="1" applyAlignment="1">
      <alignment horizontal="center"/>
    </xf>
    <xf numFmtId="16" fontId="12" fillId="0" borderId="22" xfId="0" applyNumberFormat="1" applyFont="1" applyFill="1" applyBorder="1" applyAlignment="1">
      <alignment horizontal="center"/>
    </xf>
    <xf numFmtId="16" fontId="12" fillId="0" borderId="35" xfId="0" applyNumberFormat="1" applyFont="1" applyFill="1" applyBorder="1" applyAlignment="1">
      <alignment horizontal="center"/>
    </xf>
    <xf numFmtId="0" fontId="12" fillId="8" borderId="0" xfId="0" applyFont="1" applyFill="1" applyAlignment="1">
      <alignment horizontal="center"/>
    </xf>
    <xf numFmtId="0" fontId="12" fillId="8" borderId="0" xfId="0" applyFont="1" applyFill="1" applyAlignment="1">
      <alignment/>
    </xf>
    <xf numFmtId="0" fontId="8" fillId="8" borderId="0" xfId="0" applyFont="1" applyFill="1" applyAlignment="1">
      <alignment horizontal="centerContinuous"/>
    </xf>
    <xf numFmtId="0" fontId="0" fillId="8" borderId="0" xfId="0" applyFont="1" applyFill="1" applyAlignment="1">
      <alignment horizontal="centerContinuous"/>
    </xf>
    <xf numFmtId="0" fontId="30" fillId="0" borderId="36" xfId="0" applyFont="1" applyFill="1" applyBorder="1" applyAlignment="1">
      <alignment/>
    </xf>
    <xf numFmtId="0" fontId="30" fillId="0" borderId="37" xfId="0" applyFont="1" applyFill="1" applyBorder="1" applyAlignment="1">
      <alignment horizontal="center"/>
    </xf>
    <xf numFmtId="0" fontId="30" fillId="0" borderId="38" xfId="0" applyFont="1" applyFill="1" applyBorder="1" applyAlignment="1">
      <alignment horizontal="center"/>
    </xf>
    <xf numFmtId="9" fontId="12" fillId="0" borderId="0" xfId="58" applyFont="1" applyFill="1" applyBorder="1" applyAlignment="1">
      <alignment horizontal="center"/>
    </xf>
    <xf numFmtId="9" fontId="12" fillId="0" borderId="13" xfId="58" applyFont="1" applyFill="1" applyBorder="1" applyAlignment="1">
      <alignment horizontal="center"/>
    </xf>
    <xf numFmtId="9" fontId="12" fillId="0" borderId="6" xfId="58" applyFont="1" applyFill="1" applyBorder="1" applyAlignment="1">
      <alignment horizontal="center"/>
    </xf>
    <xf numFmtId="9" fontId="12" fillId="0" borderId="31" xfId="58" applyFont="1" applyFill="1" applyBorder="1" applyAlignment="1">
      <alignment horizontal="center"/>
    </xf>
    <xf numFmtId="0" fontId="30" fillId="0" borderId="39" xfId="0" applyFont="1" applyFill="1" applyBorder="1" applyAlignment="1">
      <alignment/>
    </xf>
    <xf numFmtId="9" fontId="12" fillId="0" borderId="40" xfId="58" applyFont="1" applyFill="1" applyBorder="1" applyAlignment="1">
      <alignment horizontal="center"/>
    </xf>
    <xf numFmtId="176" fontId="12" fillId="0" borderId="41" xfId="58" applyNumberFormat="1" applyFont="1" applyFill="1" applyBorder="1" applyAlignment="1">
      <alignment horizontal="center"/>
    </xf>
    <xf numFmtId="9" fontId="12" fillId="0" borderId="16" xfId="58" applyFont="1" applyFill="1" applyBorder="1" applyAlignment="1">
      <alignment horizontal="center"/>
    </xf>
    <xf numFmtId="9" fontId="12" fillId="0" borderId="17" xfId="58" applyFont="1" applyFill="1" applyBorder="1" applyAlignment="1">
      <alignment horizontal="center"/>
    </xf>
    <xf numFmtId="0" fontId="30" fillId="0" borderId="16" xfId="0" applyFont="1" applyFill="1" applyBorder="1" applyAlignment="1">
      <alignment horizontal="center"/>
    </xf>
    <xf numFmtId="0" fontId="30" fillId="0" borderId="17" xfId="0" applyFont="1" applyFill="1" applyBorder="1" applyAlignment="1">
      <alignment horizontal="center"/>
    </xf>
    <xf numFmtId="166" fontId="12" fillId="0" borderId="13" xfId="0" applyNumberFormat="1" applyFont="1" applyFill="1" applyBorder="1" applyAlignment="1">
      <alignment horizontal="center"/>
    </xf>
    <xf numFmtId="166" fontId="12" fillId="0" borderId="6" xfId="0" applyNumberFormat="1" applyFont="1" applyFill="1" applyBorder="1" applyAlignment="1">
      <alignment horizontal="center"/>
    </xf>
    <xf numFmtId="166" fontId="12" fillId="0" borderId="31" xfId="0" applyNumberFormat="1" applyFont="1" applyFill="1" applyBorder="1" applyAlignment="1">
      <alignment horizontal="center"/>
    </xf>
    <xf numFmtId="166" fontId="12" fillId="0" borderId="16" xfId="0" applyNumberFormat="1" applyFont="1" applyFill="1" applyBorder="1" applyAlignment="1">
      <alignment horizontal="center"/>
    </xf>
    <xf numFmtId="166" fontId="12" fillId="0" borderId="17" xfId="0" applyNumberFormat="1" applyFont="1" applyFill="1" applyBorder="1" applyAlignment="1">
      <alignment horizontal="center"/>
    </xf>
    <xf numFmtId="0" fontId="24" fillId="8" borderId="0" xfId="0" applyFont="1" applyFill="1" applyAlignment="1">
      <alignment/>
    </xf>
    <xf numFmtId="0" fontId="0" fillId="8" borderId="0" xfId="0" applyFill="1" applyAlignment="1">
      <alignment horizontal="left" indent="1"/>
    </xf>
    <xf numFmtId="0" fontId="42" fillId="0" borderId="0" xfId="0" applyFont="1" applyAlignment="1">
      <alignment/>
    </xf>
    <xf numFmtId="0" fontId="63" fillId="0" borderId="0" xfId="0" applyFont="1" applyAlignment="1">
      <alignment/>
    </xf>
    <xf numFmtId="0" fontId="42" fillId="0" borderId="1" xfId="0" applyFont="1" applyBorder="1" applyAlignment="1">
      <alignment horizontal="center"/>
    </xf>
    <xf numFmtId="0" fontId="42" fillId="0" borderId="0" xfId="0" applyFont="1" applyFill="1" applyAlignment="1">
      <alignment/>
    </xf>
    <xf numFmtId="0" fontId="42" fillId="0" borderId="0" xfId="0" applyFont="1" applyFill="1" applyBorder="1" applyAlignment="1">
      <alignment/>
    </xf>
    <xf numFmtId="0" fontId="42" fillId="0" borderId="0" xfId="0" applyFont="1" applyFill="1" applyBorder="1" applyAlignment="1">
      <alignment horizontal="center"/>
    </xf>
    <xf numFmtId="0" fontId="42" fillId="11" borderId="0" xfId="0" applyFont="1" applyFill="1" applyAlignment="1">
      <alignment/>
    </xf>
    <xf numFmtId="0" fontId="42" fillId="12" borderId="1" xfId="0" applyFont="1" applyFill="1" applyBorder="1" applyAlignment="1">
      <alignment/>
    </xf>
    <xf numFmtId="0" fontId="63" fillId="0" borderId="0" xfId="0" applyFont="1" applyAlignment="1">
      <alignment horizontal="center"/>
    </xf>
    <xf numFmtId="166" fontId="42" fillId="0" borderId="1" xfId="0" applyNumberFormat="1" applyFont="1" applyFill="1" applyBorder="1" applyAlignment="1">
      <alignment horizontal="center"/>
    </xf>
    <xf numFmtId="1" fontId="42" fillId="0" borderId="1" xfId="0" applyNumberFormat="1" applyFont="1" applyFill="1" applyBorder="1" applyAlignment="1">
      <alignment horizontal="center"/>
    </xf>
    <xf numFmtId="0" fontId="42" fillId="0" borderId="1" xfId="0" applyFont="1" applyFill="1" applyBorder="1" applyAlignment="1">
      <alignment horizontal="center"/>
    </xf>
    <xf numFmtId="2" fontId="42" fillId="0" borderId="1" xfId="0" applyNumberFormat="1" applyFont="1" applyFill="1" applyBorder="1" applyAlignment="1">
      <alignment horizontal="center"/>
    </xf>
    <xf numFmtId="3" fontId="42" fillId="0" borderId="1" xfId="0" applyNumberFormat="1" applyFont="1" applyBorder="1" applyAlignment="1">
      <alignment horizontal="center"/>
    </xf>
    <xf numFmtId="0" fontId="42" fillId="0" borderId="0" xfId="0" applyFont="1" applyAlignment="1">
      <alignment horizontal="left"/>
    </xf>
    <xf numFmtId="0" fontId="42" fillId="0" borderId="0" xfId="0" applyFont="1" applyAlignment="1" quotePrefix="1">
      <alignment horizontal="right"/>
    </xf>
    <xf numFmtId="0" fontId="42" fillId="0" borderId="0" xfId="0" applyFont="1" applyBorder="1" applyAlignment="1">
      <alignment/>
    </xf>
    <xf numFmtId="0" fontId="42" fillId="0" borderId="0" xfId="0" applyFont="1" applyBorder="1" applyAlignment="1">
      <alignment horizontal="center"/>
    </xf>
    <xf numFmtId="3" fontId="42" fillId="12" borderId="1" xfId="0" applyNumberFormat="1" applyFont="1" applyFill="1" applyBorder="1" applyAlignment="1">
      <alignment horizontal="center"/>
    </xf>
    <xf numFmtId="2" fontId="42" fillId="12" borderId="1" xfId="0" applyNumberFormat="1" applyFont="1" applyFill="1" applyBorder="1" applyAlignment="1">
      <alignment horizontal="center"/>
    </xf>
    <xf numFmtId="164" fontId="42" fillId="12" borderId="1" xfId="0" applyNumberFormat="1" applyFont="1" applyFill="1" applyBorder="1" applyAlignment="1">
      <alignment horizontal="center"/>
    </xf>
    <xf numFmtId="166" fontId="42" fillId="12" borderId="1" xfId="0" applyNumberFormat="1" applyFont="1" applyFill="1" applyBorder="1" applyAlignment="1">
      <alignment horizontal="center"/>
    </xf>
    <xf numFmtId="0" fontId="42" fillId="0" borderId="20" xfId="0" applyFont="1" applyFill="1" applyBorder="1" applyAlignment="1">
      <alignment/>
    </xf>
    <xf numFmtId="0" fontId="42" fillId="0" borderId="0" xfId="0" applyFont="1" applyBorder="1" applyAlignment="1">
      <alignment/>
    </xf>
    <xf numFmtId="1" fontId="0" fillId="0" borderId="1" xfId="19" applyNumberFormat="1" applyFont="1" applyFill="1" applyBorder="1" applyAlignment="1">
      <alignment horizontal="center"/>
    </xf>
    <xf numFmtId="4" fontId="0" fillId="0" borderId="0" xfId="0" applyNumberFormat="1" applyFont="1" applyAlignment="1">
      <alignment horizontal="right"/>
    </xf>
    <xf numFmtId="185" fontId="0" fillId="0" borderId="0" xfId="0" applyNumberFormat="1" applyFont="1" applyAlignment="1">
      <alignment horizontal="right"/>
    </xf>
    <xf numFmtId="4" fontId="8" fillId="0" borderId="0" xfId="0" applyNumberFormat="1" applyFont="1" applyAlignment="1">
      <alignment horizontal="center"/>
    </xf>
    <xf numFmtId="167" fontId="8" fillId="0" borderId="0" xfId="0" applyNumberFormat="1" applyFont="1" applyAlignment="1">
      <alignment horizontal="center"/>
    </xf>
    <xf numFmtId="4" fontId="8" fillId="0" borderId="42" xfId="0" applyNumberFormat="1" applyFont="1" applyBorder="1" applyAlignment="1">
      <alignment horizontal="center"/>
    </xf>
    <xf numFmtId="167" fontId="8" fillId="0" borderId="43" xfId="0" applyNumberFormat="1" applyFont="1" applyBorder="1" applyAlignment="1">
      <alignment horizontal="center"/>
    </xf>
    <xf numFmtId="167" fontId="8" fillId="0" borderId="44" xfId="0" applyNumberFormat="1" applyFont="1" applyBorder="1" applyAlignment="1">
      <alignment horizontal="center"/>
    </xf>
    <xf numFmtId="167" fontId="8" fillId="0" borderId="0" xfId="0" applyNumberFormat="1" applyFont="1" applyBorder="1" applyAlignment="1">
      <alignment horizontal="center"/>
    </xf>
    <xf numFmtId="4" fontId="18" fillId="0" borderId="0" xfId="0" applyNumberFormat="1" applyFont="1" applyAlignment="1">
      <alignment horizontal="center"/>
    </xf>
    <xf numFmtId="167" fontId="0" fillId="0" borderId="2" xfId="0" applyNumberFormat="1" applyBorder="1" applyAlignment="1">
      <alignment horizontal="center"/>
    </xf>
    <xf numFmtId="167" fontId="0" fillId="0" borderId="1" xfId="0" applyNumberFormat="1" applyBorder="1" applyAlignment="1">
      <alignment horizontal="center"/>
    </xf>
    <xf numFmtId="167" fontId="0" fillId="0" borderId="45" xfId="0" applyNumberFormat="1" applyBorder="1" applyAlignment="1">
      <alignment horizontal="center"/>
    </xf>
    <xf numFmtId="167" fontId="0" fillId="0" borderId="0" xfId="0" applyNumberFormat="1" applyBorder="1" applyAlignment="1">
      <alignment horizontal="center"/>
    </xf>
    <xf numFmtId="49" fontId="0" fillId="0" borderId="0" xfId="0" applyNumberFormat="1" applyAlignment="1">
      <alignment/>
    </xf>
    <xf numFmtId="185" fontId="0" fillId="0" borderId="2" xfId="0" applyNumberFormat="1" applyFont="1" applyBorder="1" applyAlignment="1">
      <alignment horizontal="right"/>
    </xf>
    <xf numFmtId="190" fontId="0" fillId="0" borderId="1" xfId="0" applyNumberFormat="1" applyFont="1" applyBorder="1" applyAlignment="1">
      <alignment horizontal="right"/>
    </xf>
    <xf numFmtId="190" fontId="0" fillId="0" borderId="45" xfId="0" applyNumberFormat="1" applyFont="1" applyBorder="1" applyAlignment="1">
      <alignment horizontal="right"/>
    </xf>
    <xf numFmtId="190" fontId="0" fillId="0" borderId="0" xfId="0" applyNumberFormat="1" applyFont="1" applyBorder="1" applyAlignment="1">
      <alignment horizontal="right"/>
    </xf>
    <xf numFmtId="185" fontId="0" fillId="0" borderId="46" xfId="0" applyNumberFormat="1" applyFont="1" applyBorder="1" applyAlignment="1">
      <alignment horizontal="right"/>
    </xf>
    <xf numFmtId="190" fontId="0" fillId="0" borderId="47" xfId="0" applyNumberFormat="1" applyFont="1" applyBorder="1" applyAlignment="1">
      <alignment horizontal="right"/>
    </xf>
    <xf numFmtId="190" fontId="0" fillId="0" borderId="48" xfId="0" applyNumberFormat="1" applyFont="1" applyBorder="1" applyAlignment="1">
      <alignment horizontal="right"/>
    </xf>
    <xf numFmtId="190" fontId="0" fillId="0" borderId="0" xfId="0" applyNumberFormat="1" applyFont="1" applyAlignment="1">
      <alignment horizontal="right"/>
    </xf>
    <xf numFmtId="198" fontId="0" fillId="0" borderId="0" xfId="58" applyNumberFormat="1" applyFont="1" applyAlignment="1">
      <alignment horizontal="right"/>
    </xf>
    <xf numFmtId="199" fontId="0" fillId="0" borderId="0" xfId="58" applyNumberFormat="1" applyFont="1" applyAlignment="1">
      <alignment horizontal="right"/>
    </xf>
    <xf numFmtId="184" fontId="42" fillId="0" borderId="1" xfId="0" applyNumberFormat="1" applyFont="1" applyBorder="1" applyAlignment="1">
      <alignment horizontal="center"/>
    </xf>
    <xf numFmtId="184" fontId="42" fillId="0" borderId="1" xfId="0" applyNumberFormat="1" applyFont="1" applyFill="1" applyBorder="1" applyAlignment="1">
      <alignment horizontal="center"/>
    </xf>
    <xf numFmtId="0" fontId="42" fillId="0" borderId="0" xfId="0" applyFont="1" applyAlignment="1">
      <alignment horizontal="right"/>
    </xf>
    <xf numFmtId="176" fontId="42" fillId="0" borderId="1" xfId="58" applyNumberFormat="1" applyFont="1" applyBorder="1" applyAlignment="1">
      <alignment horizontal="center"/>
    </xf>
    <xf numFmtId="0" fontId="42" fillId="0" borderId="1" xfId="0" applyFont="1" applyBorder="1" applyAlignment="1">
      <alignment horizontal="left" indent="1"/>
    </xf>
    <xf numFmtId="9" fontId="42" fillId="0" borderId="0" xfId="58" applyFont="1" applyAlignment="1">
      <alignment/>
    </xf>
    <xf numFmtId="0" fontId="63" fillId="0" borderId="0" xfId="0" applyFont="1" applyAlignment="1">
      <alignment horizontal="center" vertical="top" wrapText="1"/>
    </xf>
    <xf numFmtId="0" fontId="75" fillId="0" borderId="0" xfId="0" applyFont="1" applyAlignment="1">
      <alignment horizontal="left"/>
    </xf>
    <xf numFmtId="0" fontId="75" fillId="0" borderId="0" xfId="0" applyFont="1" applyAlignment="1">
      <alignment/>
    </xf>
    <xf numFmtId="3" fontId="42" fillId="0" borderId="1" xfId="0" applyNumberFormat="1" applyFont="1" applyFill="1" applyBorder="1" applyAlignment="1">
      <alignment horizontal="center"/>
    </xf>
    <xf numFmtId="3" fontId="42" fillId="0" borderId="0" xfId="0" applyNumberFormat="1" applyFont="1" applyBorder="1" applyAlignment="1">
      <alignment horizontal="center"/>
    </xf>
    <xf numFmtId="184" fontId="42" fillId="0" borderId="0" xfId="0" applyNumberFormat="1" applyFont="1" applyBorder="1" applyAlignment="1">
      <alignment horizontal="center"/>
    </xf>
    <xf numFmtId="184" fontId="42" fillId="0" borderId="0" xfId="0" applyNumberFormat="1" applyFont="1" applyFill="1" applyBorder="1" applyAlignment="1">
      <alignment horizontal="center"/>
    </xf>
    <xf numFmtId="2" fontId="42" fillId="0" borderId="0" xfId="0" applyNumberFormat="1" applyFont="1" applyFill="1" applyBorder="1" applyAlignment="1">
      <alignment horizontal="center"/>
    </xf>
    <xf numFmtId="0" fontId="42" fillId="0" borderId="0" xfId="0" applyFont="1" applyFill="1" applyAlignment="1">
      <alignment horizontal="center"/>
    </xf>
    <xf numFmtId="0" fontId="63" fillId="0" borderId="0" xfId="0" applyFont="1" applyAlignment="1">
      <alignment horizontal="center" wrapText="1"/>
    </xf>
    <xf numFmtId="4" fontId="42" fillId="12" borderId="1" xfId="0" applyNumberFormat="1" applyFont="1" applyFill="1" applyBorder="1" applyAlignment="1">
      <alignment horizontal="center"/>
    </xf>
    <xf numFmtId="0" fontId="88" fillId="0" borderId="0" xfId="0" applyFont="1" applyAlignment="1">
      <alignment/>
    </xf>
    <xf numFmtId="0" fontId="42" fillId="0" borderId="0" xfId="0" applyFont="1" applyAlignment="1">
      <alignment horizontal="center" wrapText="1" shrinkToFit="1"/>
    </xf>
    <xf numFmtId="0" fontId="42" fillId="8" borderId="1" xfId="0" applyFont="1" applyFill="1" applyBorder="1" applyAlignment="1" applyProtection="1">
      <alignment horizontal="left"/>
      <protection locked="0"/>
    </xf>
    <xf numFmtId="0" fontId="42" fillId="8" borderId="1" xfId="0" applyFont="1" applyFill="1" applyBorder="1" applyAlignment="1" applyProtection="1">
      <alignment/>
      <protection locked="0"/>
    </xf>
    <xf numFmtId="3" fontId="42" fillId="8" borderId="1" xfId="0" applyNumberFormat="1" applyFont="1" applyFill="1" applyBorder="1" applyAlignment="1" applyProtection="1">
      <alignment horizontal="center"/>
      <protection locked="0"/>
    </xf>
    <xf numFmtId="2" fontId="42" fillId="8" borderId="1" xfId="0" applyNumberFormat="1" applyFont="1" applyFill="1" applyBorder="1" applyAlignment="1" applyProtection="1">
      <alignment horizontal="center"/>
      <protection locked="0"/>
    </xf>
    <xf numFmtId="0" fontId="42" fillId="8" borderId="49" xfId="0" applyFont="1" applyFill="1" applyBorder="1" applyAlignment="1" applyProtection="1">
      <alignment/>
      <protection locked="0"/>
    </xf>
    <xf numFmtId="3" fontId="42" fillId="8" borderId="1" xfId="0" applyNumberFormat="1" applyFont="1" applyFill="1" applyBorder="1" applyAlignment="1" applyProtection="1">
      <alignment/>
      <protection locked="0"/>
    </xf>
    <xf numFmtId="0" fontId="42" fillId="0" borderId="50" xfId="0" applyFont="1" applyFill="1" applyBorder="1" applyAlignment="1">
      <alignment/>
    </xf>
    <xf numFmtId="0" fontId="87" fillId="0" borderId="0" xfId="0" applyFont="1" applyFill="1" applyBorder="1" applyAlignment="1">
      <alignment/>
    </xf>
    <xf numFmtId="0" fontId="64" fillId="0" borderId="0" xfId="0" applyFont="1" applyFill="1" applyBorder="1" applyAlignment="1">
      <alignment/>
    </xf>
    <xf numFmtId="0" fontId="96" fillId="4" borderId="0" xfId="0" applyFont="1" applyFill="1" applyAlignment="1">
      <alignment/>
    </xf>
    <xf numFmtId="0" fontId="19" fillId="4" borderId="0" xfId="0" applyFont="1" applyFill="1" applyAlignment="1">
      <alignment/>
    </xf>
    <xf numFmtId="4" fontId="19" fillId="4" borderId="0" xfId="0" applyNumberFormat="1" applyFont="1" applyFill="1" applyAlignment="1">
      <alignment/>
    </xf>
    <xf numFmtId="165" fontId="19" fillId="4" borderId="0" xfId="0" applyNumberFormat="1" applyFont="1" applyFill="1" applyAlignment="1">
      <alignment/>
    </xf>
    <xf numFmtId="4" fontId="19" fillId="4" borderId="0" xfId="0" applyNumberFormat="1" applyFont="1" applyFill="1" applyBorder="1" applyAlignment="1">
      <alignment/>
    </xf>
    <xf numFmtId="0" fontId="19" fillId="4" borderId="0" xfId="0" applyFont="1" applyFill="1" applyBorder="1" applyAlignment="1">
      <alignment/>
    </xf>
    <xf numFmtId="165" fontId="19" fillId="4" borderId="0" xfId="0" applyNumberFormat="1" applyFont="1" applyFill="1" applyBorder="1" applyAlignment="1">
      <alignment/>
    </xf>
    <xf numFmtId="0" fontId="20" fillId="4" borderId="51" xfId="0" applyFont="1" applyFill="1" applyBorder="1" applyAlignment="1" applyProtection="1">
      <alignment horizontal="right" vertical="center"/>
      <protection/>
    </xf>
    <xf numFmtId="0" fontId="24" fillId="4" borderId="0" xfId="0" applyFont="1" applyFill="1" applyAlignment="1">
      <alignment/>
    </xf>
    <xf numFmtId="0" fontId="22" fillId="4" borderId="0" xfId="0" applyFont="1" applyFill="1" applyAlignment="1">
      <alignment/>
    </xf>
    <xf numFmtId="4" fontId="24" fillId="4" borderId="0" xfId="0" applyNumberFormat="1" applyFont="1" applyFill="1" applyAlignment="1">
      <alignment/>
    </xf>
    <xf numFmtId="165" fontId="24" fillId="4" borderId="0" xfId="0" applyNumberFormat="1" applyFont="1" applyFill="1" applyAlignment="1">
      <alignment/>
    </xf>
    <xf numFmtId="0" fontId="21" fillId="0" borderId="0" xfId="0" applyFont="1" applyFill="1" applyBorder="1" applyAlignment="1">
      <alignment/>
    </xf>
    <xf numFmtId="167" fontId="18" fillId="0" borderId="6" xfId="0" applyNumberFormat="1" applyFont="1" applyFill="1" applyBorder="1" applyAlignment="1">
      <alignment/>
    </xf>
    <xf numFmtId="166" fontId="0" fillId="0" borderId="0" xfId="0" applyNumberFormat="1" applyFill="1" applyBorder="1" applyAlignment="1">
      <alignment horizontal="right"/>
    </xf>
    <xf numFmtId="0" fontId="99" fillId="0" borderId="0" xfId="46" applyFont="1" applyAlignment="1">
      <alignment/>
    </xf>
    <xf numFmtId="0" fontId="29" fillId="0" borderId="0" xfId="0" applyFont="1" applyAlignment="1">
      <alignment/>
    </xf>
    <xf numFmtId="0" fontId="27" fillId="0" borderId="0" xfId="0" applyFont="1" applyAlignment="1">
      <alignment/>
    </xf>
    <xf numFmtId="167" fontId="27" fillId="0" borderId="0" xfId="0" applyNumberFormat="1" applyFont="1" applyAlignment="1">
      <alignment horizontal="center"/>
    </xf>
    <xf numFmtId="167" fontId="29" fillId="0" borderId="0" xfId="0" applyNumberFormat="1" applyFont="1" applyAlignment="1">
      <alignment horizontal="center"/>
    </xf>
    <xf numFmtId="0" fontId="100" fillId="0" borderId="0" xfId="0" applyFont="1" applyAlignment="1">
      <alignment horizontal="center" vertical="top" wrapText="1"/>
    </xf>
    <xf numFmtId="167" fontId="27" fillId="0" borderId="0" xfId="0" applyNumberFormat="1" applyFont="1" applyAlignment="1">
      <alignment/>
    </xf>
    <xf numFmtId="167" fontId="29" fillId="0" borderId="0" xfId="0" applyNumberFormat="1" applyFont="1" applyAlignment="1">
      <alignment/>
    </xf>
    <xf numFmtId="0" fontId="12" fillId="0" borderId="0" xfId="0" applyFont="1" applyAlignment="1">
      <alignment/>
    </xf>
    <xf numFmtId="0" fontId="30" fillId="8" borderId="0" xfId="0" applyFont="1" applyFill="1" applyAlignment="1">
      <alignment/>
    </xf>
    <xf numFmtId="168" fontId="0" fillId="8" borderId="0" xfId="19" applyNumberFormat="1" applyFill="1" applyAlignment="1">
      <alignment horizontal="center"/>
    </xf>
    <xf numFmtId="168" fontId="0" fillId="8" borderId="0" xfId="19" applyNumberFormat="1" applyFont="1" applyFill="1" applyBorder="1" applyAlignment="1">
      <alignment horizontal="center"/>
    </xf>
    <xf numFmtId="168" fontId="0" fillId="8" borderId="0" xfId="19" applyNumberFormat="1" applyFont="1" applyFill="1" applyAlignment="1">
      <alignment horizontal="center"/>
    </xf>
    <xf numFmtId="0" fontId="8" fillId="8" borderId="0" xfId="0" applyFont="1" applyFill="1" applyAlignment="1">
      <alignment horizontal="center"/>
    </xf>
    <xf numFmtId="168" fontId="8" fillId="8" borderId="0" xfId="19" applyNumberFormat="1" applyFont="1" applyFill="1" applyAlignment="1">
      <alignment horizontal="center"/>
    </xf>
    <xf numFmtId="168" fontId="0" fillId="8" borderId="0" xfId="19" applyNumberFormat="1" applyFill="1" applyAlignment="1">
      <alignment/>
    </xf>
    <xf numFmtId="168" fontId="0" fillId="8" borderId="0" xfId="19" applyNumberFormat="1" applyFont="1" applyFill="1" applyBorder="1" applyAlignment="1">
      <alignment/>
    </xf>
    <xf numFmtId="0" fontId="0" fillId="8" borderId="0" xfId="0" applyFont="1" applyFill="1" applyBorder="1" applyAlignment="1">
      <alignment/>
    </xf>
    <xf numFmtId="0" fontId="0" fillId="0" borderId="29" xfId="0" applyFont="1" applyFill="1" applyBorder="1" applyAlignment="1">
      <alignment horizontal="center" vertical="top" wrapText="1"/>
    </xf>
    <xf numFmtId="3" fontId="0" fillId="0" borderId="6" xfId="0" applyNumberFormat="1" applyFont="1" applyFill="1" applyBorder="1" applyAlignment="1">
      <alignment horizontal="center" vertical="top" wrapText="1"/>
    </xf>
    <xf numFmtId="3" fontId="0" fillId="0" borderId="45" xfId="19" applyNumberFormat="1" applyFont="1" applyFill="1" applyBorder="1" applyAlignment="1" quotePrefix="1">
      <alignment horizontal="center"/>
    </xf>
    <xf numFmtId="3" fontId="0" fillId="0" borderId="49" xfId="19" applyNumberFormat="1" applyFont="1" applyFill="1" applyBorder="1" applyAlignment="1" quotePrefix="1">
      <alignment horizontal="center"/>
    </xf>
    <xf numFmtId="3" fontId="0" fillId="0" borderId="49" xfId="19" applyNumberFormat="1" applyFont="1" applyFill="1" applyBorder="1" applyAlignment="1">
      <alignment horizontal="center"/>
    </xf>
    <xf numFmtId="3" fontId="0" fillId="0" borderId="45" xfId="19" applyNumberFormat="1" applyFont="1" applyFill="1" applyBorder="1" applyAlignment="1" quotePrefix="1">
      <alignment horizontal="center" wrapText="1"/>
    </xf>
    <xf numFmtId="0" fontId="27" fillId="13" borderId="52" xfId="0" applyFont="1" applyFill="1" applyBorder="1" applyAlignment="1">
      <alignment/>
    </xf>
    <xf numFmtId="0" fontId="29" fillId="13" borderId="9" xfId="0" applyFont="1" applyFill="1" applyBorder="1" applyAlignment="1">
      <alignment/>
    </xf>
    <xf numFmtId="0" fontId="29" fillId="13" borderId="11" xfId="0" applyFont="1" applyFill="1" applyBorder="1" applyAlignment="1">
      <alignment/>
    </xf>
    <xf numFmtId="0" fontId="27" fillId="13" borderId="32" xfId="0" applyFont="1" applyFill="1" applyBorder="1" applyAlignment="1">
      <alignment horizontal="center" wrapText="1"/>
    </xf>
    <xf numFmtId="0" fontId="27" fillId="13" borderId="3" xfId="0" applyFont="1" applyFill="1" applyBorder="1" applyAlignment="1">
      <alignment horizontal="center" wrapText="1"/>
    </xf>
    <xf numFmtId="0" fontId="27" fillId="13" borderId="53" xfId="0" applyFont="1" applyFill="1" applyBorder="1" applyAlignment="1">
      <alignment horizontal="center" wrapText="1"/>
    </xf>
    <xf numFmtId="2" fontId="0" fillId="0" borderId="1" xfId="0" applyNumberFormat="1" applyFill="1" applyBorder="1" applyAlignment="1">
      <alignment wrapText="1"/>
    </xf>
    <xf numFmtId="0" fontId="0" fillId="14" borderId="49" xfId="0" applyFill="1" applyBorder="1" applyAlignment="1">
      <alignment wrapText="1"/>
    </xf>
    <xf numFmtId="2" fontId="18" fillId="14" borderId="1" xfId="0" applyNumberFormat="1" applyFont="1" applyFill="1" applyBorder="1" applyAlignment="1">
      <alignment horizontal="center" vertical="top" wrapText="1"/>
    </xf>
    <xf numFmtId="176" fontId="0" fillId="14" borderId="1" xfId="58" applyNumberFormat="1" applyFill="1" applyBorder="1" applyAlignment="1" quotePrefix="1">
      <alignment horizontal="center"/>
    </xf>
    <xf numFmtId="176" fontId="0" fillId="14" borderId="1" xfId="58" applyNumberFormat="1" applyFill="1" applyBorder="1" applyAlignment="1">
      <alignment horizontal="center"/>
    </xf>
    <xf numFmtId="9" fontId="0" fillId="14" borderId="1" xfId="58" applyFill="1" applyBorder="1" applyAlignment="1">
      <alignment horizontal="center"/>
    </xf>
    <xf numFmtId="0" fontId="0" fillId="14" borderId="1" xfId="0" applyFill="1" applyBorder="1" applyAlignment="1">
      <alignment wrapText="1"/>
    </xf>
    <xf numFmtId="0" fontId="18" fillId="14" borderId="1" xfId="0" applyFont="1" applyFill="1" applyBorder="1" applyAlignment="1">
      <alignment horizontal="center" vertical="top" wrapText="1"/>
    </xf>
    <xf numFmtId="164" fontId="0" fillId="14" borderId="3" xfId="0" applyNumberFormat="1" applyFill="1" applyBorder="1" applyAlignment="1">
      <alignment horizontal="center" wrapText="1"/>
    </xf>
    <xf numFmtId="176" fontId="0" fillId="14" borderId="1" xfId="0" applyNumberFormat="1" applyFill="1" applyBorder="1" applyAlignment="1">
      <alignment horizontal="center"/>
    </xf>
    <xf numFmtId="9" fontId="0" fillId="14" borderId="1" xfId="0" applyNumberFormat="1" applyFill="1" applyBorder="1" applyAlignment="1">
      <alignment horizontal="center"/>
    </xf>
    <xf numFmtId="0" fontId="27" fillId="13" borderId="1" xfId="0" applyFont="1" applyFill="1" applyBorder="1" applyAlignment="1">
      <alignment horizontal="center" wrapText="1"/>
    </xf>
    <xf numFmtId="0" fontId="27" fillId="13" borderId="21" xfId="0" applyFont="1" applyFill="1" applyBorder="1" applyAlignment="1">
      <alignment horizontal="center" wrapText="1"/>
    </xf>
    <xf numFmtId="0" fontId="27" fillId="13" borderId="54" xfId="0" applyFont="1" applyFill="1" applyBorder="1" applyAlignment="1">
      <alignment horizontal="center" wrapText="1"/>
    </xf>
    <xf numFmtId="49" fontId="6" fillId="8" borderId="0" xfId="0" applyNumberFormat="1" applyFont="1" applyFill="1" applyAlignment="1">
      <alignment/>
    </xf>
    <xf numFmtId="0" fontId="8" fillId="8" borderId="0" xfId="0" applyFont="1" applyFill="1" applyBorder="1" applyAlignment="1">
      <alignment/>
    </xf>
    <xf numFmtId="49" fontId="0" fillId="8" borderId="0" xfId="0" applyNumberFormat="1" applyFill="1" applyBorder="1" applyAlignment="1">
      <alignment/>
    </xf>
    <xf numFmtId="0" fontId="13" fillId="8" borderId="0" xfId="0" applyFont="1" applyFill="1" applyAlignment="1">
      <alignment horizontal="center" vertical="center"/>
    </xf>
    <xf numFmtId="49" fontId="0" fillId="8" borderId="0" xfId="0" applyNumberFormat="1" applyFill="1" applyAlignment="1">
      <alignment/>
    </xf>
    <xf numFmtId="0" fontId="0" fillId="0" borderId="55" xfId="0" applyFill="1" applyBorder="1" applyAlignment="1">
      <alignment/>
    </xf>
    <xf numFmtId="0" fontId="0" fillId="0" borderId="8" xfId="0" applyFill="1" applyBorder="1" applyAlignment="1">
      <alignment/>
    </xf>
    <xf numFmtId="49" fontId="0" fillId="0" borderId="8" xfId="0" applyNumberFormat="1" applyFill="1" applyBorder="1" applyAlignment="1">
      <alignment/>
    </xf>
    <xf numFmtId="0" fontId="0" fillId="0" borderId="56" xfId="0" applyFill="1" applyBorder="1" applyAlignment="1">
      <alignment/>
    </xf>
    <xf numFmtId="0" fontId="13" fillId="0" borderId="57" xfId="0" applyFont="1" applyFill="1" applyBorder="1" applyAlignment="1">
      <alignment horizontal="center" vertical="center"/>
    </xf>
    <xf numFmtId="0" fontId="13" fillId="0" borderId="58" xfId="0" applyFont="1" applyFill="1" applyBorder="1" applyAlignment="1">
      <alignment horizontal="center" vertical="center"/>
    </xf>
    <xf numFmtId="183" fontId="0" fillId="0" borderId="0" xfId="0" applyNumberFormat="1" applyFill="1" applyAlignment="1">
      <alignment/>
    </xf>
    <xf numFmtId="0" fontId="0" fillId="0" borderId="59" xfId="0" applyFill="1" applyBorder="1" applyAlignment="1">
      <alignment/>
    </xf>
    <xf numFmtId="0" fontId="0" fillId="0" borderId="60" xfId="0" applyFill="1" applyBorder="1" applyAlignment="1">
      <alignment/>
    </xf>
    <xf numFmtId="49" fontId="0" fillId="0" borderId="60" xfId="0" applyNumberFormat="1" applyFill="1" applyBorder="1" applyAlignment="1">
      <alignment/>
    </xf>
    <xf numFmtId="0" fontId="0" fillId="0" borderId="61" xfId="0" applyFill="1" applyBorder="1" applyAlignment="1">
      <alignment/>
    </xf>
    <xf numFmtId="0" fontId="96" fillId="8" borderId="0" xfId="0" applyFont="1" applyFill="1" applyAlignment="1">
      <alignment/>
    </xf>
    <xf numFmtId="0" fontId="12" fillId="8" borderId="0" xfId="0" applyFont="1" applyFill="1" applyAlignment="1">
      <alignment/>
    </xf>
    <xf numFmtId="0" fontId="12" fillId="8" borderId="0" xfId="0" applyFont="1" applyFill="1" applyAlignment="1">
      <alignment horizontal="left" indent="1"/>
    </xf>
    <xf numFmtId="167" fontId="12" fillId="8" borderId="0" xfId="0" applyNumberFormat="1" applyFont="1" applyFill="1" applyAlignment="1">
      <alignment/>
    </xf>
    <xf numFmtId="0" fontId="95" fillId="8" borderId="0" xfId="46" applyFont="1" applyFill="1" applyAlignment="1">
      <alignment/>
    </xf>
    <xf numFmtId="2" fontId="12" fillId="8" borderId="0" xfId="0" applyNumberFormat="1" applyFont="1" applyFill="1" applyAlignment="1">
      <alignment/>
    </xf>
    <xf numFmtId="0" fontId="12" fillId="8" borderId="0" xfId="0" applyFont="1" applyFill="1" applyAlignment="1">
      <alignment horizontal="right"/>
    </xf>
    <xf numFmtId="192" fontId="12" fillId="8" borderId="0" xfId="0" applyNumberFormat="1" applyFont="1" applyFill="1" applyAlignment="1">
      <alignment/>
    </xf>
    <xf numFmtId="164" fontId="12" fillId="8" borderId="0" xfId="0" applyNumberFormat="1" applyFont="1" applyFill="1" applyAlignment="1">
      <alignment/>
    </xf>
    <xf numFmtId="0" fontId="30" fillId="8" borderId="62" xfId="0" applyFont="1" applyFill="1" applyBorder="1" applyAlignment="1">
      <alignment/>
    </xf>
    <xf numFmtId="0" fontId="12" fillId="8" borderId="62" xfId="0" applyFont="1" applyFill="1" applyBorder="1" applyAlignment="1">
      <alignment/>
    </xf>
    <xf numFmtId="176" fontId="12" fillId="8" borderId="0" xfId="0" applyNumberFormat="1" applyFont="1" applyFill="1" applyAlignment="1">
      <alignment/>
    </xf>
    <xf numFmtId="0" fontId="12" fillId="8" borderId="6" xfId="0" applyFont="1" applyFill="1" applyBorder="1" applyAlignment="1">
      <alignment/>
    </xf>
    <xf numFmtId="3" fontId="12" fillId="8" borderId="0" xfId="0" applyNumberFormat="1" applyFont="1" applyFill="1" applyAlignment="1">
      <alignment/>
    </xf>
    <xf numFmtId="10" fontId="30" fillId="8" borderId="0" xfId="0" applyNumberFormat="1" applyFont="1" applyFill="1" applyAlignment="1">
      <alignment/>
    </xf>
    <xf numFmtId="3" fontId="12" fillId="8" borderId="6" xfId="0" applyNumberFormat="1" applyFont="1" applyFill="1" applyBorder="1" applyAlignment="1">
      <alignment/>
    </xf>
    <xf numFmtId="0" fontId="108" fillId="0" borderId="0" xfId="0" applyFont="1" applyAlignment="1">
      <alignment/>
    </xf>
    <xf numFmtId="0" fontId="107" fillId="0" borderId="63" xfId="0" applyFont="1" applyBorder="1" applyAlignment="1">
      <alignment horizontal="left" wrapText="1"/>
    </xf>
    <xf numFmtId="0" fontId="42" fillId="0" borderId="63" xfId="0" applyFont="1" applyBorder="1" applyAlignment="1">
      <alignment/>
    </xf>
    <xf numFmtId="0" fontId="42" fillId="0" borderId="0" xfId="0" applyFont="1" applyAlignment="1">
      <alignment horizontal="left" indent="1"/>
    </xf>
    <xf numFmtId="0" fontId="63" fillId="15" borderId="64" xfId="0" applyFont="1" applyFill="1" applyBorder="1" applyAlignment="1">
      <alignment horizontal="left" indent="1"/>
    </xf>
    <xf numFmtId="0" fontId="42" fillId="15" borderId="64" xfId="0" applyFont="1" applyFill="1" applyBorder="1" applyAlignment="1">
      <alignment/>
    </xf>
    <xf numFmtId="0" fontId="63" fillId="16" borderId="65" xfId="0" applyFont="1" applyFill="1" applyBorder="1" applyAlignment="1">
      <alignment horizontal="left" indent="1"/>
    </xf>
    <xf numFmtId="0" fontId="42" fillId="16" borderId="65" xfId="0" applyFont="1" applyFill="1" applyBorder="1" applyAlignment="1">
      <alignment/>
    </xf>
    <xf numFmtId="0" fontId="63" fillId="17" borderId="65" xfId="0" applyFont="1" applyFill="1" applyBorder="1" applyAlignment="1">
      <alignment horizontal="left" indent="1"/>
    </xf>
    <xf numFmtId="0" fontId="42" fillId="17" borderId="65" xfId="0" applyFont="1" applyFill="1" applyBorder="1" applyAlignment="1">
      <alignment/>
    </xf>
    <xf numFmtId="0" fontId="113" fillId="0" borderId="0" xfId="0" applyFont="1" applyFill="1" applyAlignment="1">
      <alignment/>
    </xf>
    <xf numFmtId="0" fontId="21" fillId="0" borderId="0" xfId="0"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Border="1" applyAlignment="1">
      <alignment vertical="center"/>
    </xf>
    <xf numFmtId="167" fontId="26" fillId="0" borderId="0" xfId="0" applyNumberFormat="1" applyFont="1" applyFill="1" applyBorder="1" applyAlignment="1">
      <alignment vertical="center"/>
    </xf>
    <xf numFmtId="0" fontId="26" fillId="0" borderId="0" xfId="0" applyFont="1" applyFill="1" applyBorder="1" applyAlignment="1">
      <alignment vertical="center"/>
    </xf>
    <xf numFmtId="0" fontId="0" fillId="0" borderId="0" xfId="0" applyFill="1" applyBorder="1" applyAlignment="1">
      <alignment/>
    </xf>
    <xf numFmtId="0" fontId="24" fillId="0" borderId="0" xfId="0" applyFont="1" applyFill="1" applyBorder="1" applyAlignment="1" applyProtection="1">
      <alignment/>
      <protection locked="0"/>
    </xf>
    <xf numFmtId="0" fontId="20" fillId="0" borderId="0" xfId="0" applyFont="1" applyFill="1" applyBorder="1" applyAlignment="1">
      <alignment/>
    </xf>
    <xf numFmtId="0" fontId="22" fillId="0" borderId="0" xfId="0" applyFont="1" applyFill="1" applyBorder="1" applyAlignment="1">
      <alignment/>
    </xf>
    <xf numFmtId="167" fontId="18" fillId="0" borderId="0" xfId="0" applyNumberFormat="1" applyFont="1" applyFill="1" applyBorder="1" applyAlignment="1">
      <alignment/>
    </xf>
    <xf numFmtId="0" fontId="18" fillId="0" borderId="0" xfId="0" applyFont="1" applyFill="1" applyBorder="1" applyAlignment="1">
      <alignment/>
    </xf>
    <xf numFmtId="0" fontId="0" fillId="0" borderId="0" xfId="0" applyFont="1" applyFill="1" applyBorder="1" applyAlignment="1">
      <alignment vertical="center"/>
    </xf>
    <xf numFmtId="0" fontId="24" fillId="0" borderId="19" xfId="0" applyFont="1" applyFill="1" applyBorder="1" applyAlignment="1">
      <alignment/>
    </xf>
    <xf numFmtId="0" fontId="21" fillId="0" borderId="16" xfId="0" applyFont="1" applyFill="1" applyBorder="1" applyAlignment="1">
      <alignment/>
    </xf>
    <xf numFmtId="0" fontId="21" fillId="0" borderId="16" xfId="0" applyFont="1" applyFill="1" applyBorder="1" applyAlignment="1">
      <alignment horizontal="center"/>
    </xf>
    <xf numFmtId="0" fontId="24" fillId="0" borderId="6" xfId="0" applyFont="1" applyFill="1" applyBorder="1" applyAlignment="1" applyProtection="1">
      <alignment/>
      <protection locked="0"/>
    </xf>
    <xf numFmtId="0" fontId="20" fillId="0" borderId="6" xfId="0" applyFont="1" applyFill="1" applyBorder="1" applyAlignment="1">
      <alignment/>
    </xf>
    <xf numFmtId="0" fontId="22" fillId="0" borderId="6" xfId="0" applyFont="1" applyFill="1" applyBorder="1" applyAlignment="1">
      <alignment/>
    </xf>
    <xf numFmtId="0" fontId="18" fillId="0" borderId="6" xfId="0" applyFont="1" applyFill="1" applyBorder="1" applyAlignment="1">
      <alignment/>
    </xf>
    <xf numFmtId="0" fontId="21" fillId="0" borderId="19" xfId="0" applyFont="1" applyFill="1" applyBorder="1" applyAlignment="1" applyProtection="1">
      <alignment/>
      <protection locked="0"/>
    </xf>
    <xf numFmtId="0" fontId="12" fillId="0" borderId="19" xfId="0" applyFont="1" applyFill="1" applyBorder="1" applyAlignment="1">
      <alignment/>
    </xf>
    <xf numFmtId="0" fontId="0" fillId="0" borderId="19" xfId="0" applyFont="1" applyFill="1" applyBorder="1" applyAlignment="1">
      <alignment/>
    </xf>
    <xf numFmtId="166" fontId="0" fillId="0" borderId="19" xfId="0" applyNumberFormat="1" applyFont="1" applyFill="1" applyBorder="1" applyAlignment="1">
      <alignment horizontal="right"/>
    </xf>
    <xf numFmtId="0" fontId="24" fillId="0" borderId="19" xfId="0" applyFont="1" applyFill="1" applyBorder="1" applyAlignment="1" applyProtection="1">
      <alignment/>
      <protection locked="0"/>
    </xf>
    <xf numFmtId="0" fontId="20" fillId="0" borderId="19" xfId="0" applyFont="1" applyFill="1" applyBorder="1" applyAlignment="1">
      <alignment/>
    </xf>
    <xf numFmtId="0" fontId="22" fillId="0" borderId="19" xfId="0" applyFont="1" applyFill="1" applyBorder="1" applyAlignment="1">
      <alignment/>
    </xf>
    <xf numFmtId="0" fontId="0" fillId="0" borderId="19" xfId="0" applyFill="1" applyBorder="1" applyAlignment="1">
      <alignment/>
    </xf>
    <xf numFmtId="166" fontId="0" fillId="0" borderId="19" xfId="0" applyNumberFormat="1" applyFill="1" applyBorder="1" applyAlignment="1">
      <alignment horizontal="right"/>
    </xf>
    <xf numFmtId="0" fontId="0" fillId="0" borderId="6" xfId="0" applyFill="1" applyBorder="1" applyAlignment="1">
      <alignment/>
    </xf>
    <xf numFmtId="166" fontId="0" fillId="0" borderId="6" xfId="0" applyNumberFormat="1" applyFill="1" applyBorder="1" applyAlignment="1">
      <alignment horizontal="right"/>
    </xf>
    <xf numFmtId="0" fontId="29" fillId="8" borderId="0" xfId="0" applyFont="1" applyFill="1" applyAlignment="1">
      <alignment vertical="top"/>
    </xf>
    <xf numFmtId="0" fontId="97" fillId="8" borderId="0" xfId="0" applyFont="1" applyFill="1" applyAlignment="1">
      <alignment vertical="top"/>
    </xf>
    <xf numFmtId="0" fontId="97" fillId="8" borderId="0" xfId="0" applyFont="1" applyFill="1" applyBorder="1" applyAlignment="1">
      <alignment vertical="top"/>
    </xf>
    <xf numFmtId="4" fontId="97" fillId="8" borderId="0" xfId="0" applyNumberFormat="1" applyFont="1" applyFill="1" applyBorder="1" applyAlignment="1">
      <alignment vertical="top"/>
    </xf>
    <xf numFmtId="165" fontId="97" fillId="8" borderId="0" xfId="0" applyNumberFormat="1" applyFont="1" applyFill="1" applyBorder="1" applyAlignment="1">
      <alignment vertical="top"/>
    </xf>
    <xf numFmtId="0" fontId="21" fillId="8" borderId="0" xfId="0" applyFont="1" applyFill="1" applyBorder="1" applyAlignment="1">
      <alignment horizontal="center"/>
    </xf>
    <xf numFmtId="0" fontId="21" fillId="8" borderId="0" xfId="0" applyFont="1" applyFill="1" applyAlignment="1">
      <alignment horizontal="center"/>
    </xf>
    <xf numFmtId="4" fontId="21" fillId="8" borderId="0" xfId="0" applyNumberFormat="1" applyFont="1" applyFill="1" applyBorder="1" applyAlignment="1">
      <alignment horizontal="center"/>
    </xf>
    <xf numFmtId="165" fontId="21" fillId="8" borderId="0" xfId="0" applyNumberFormat="1" applyFont="1" applyFill="1" applyAlignment="1">
      <alignment horizontal="center"/>
    </xf>
    <xf numFmtId="0" fontId="19" fillId="8" borderId="0" xfId="0" applyFont="1" applyFill="1" applyBorder="1" applyAlignment="1">
      <alignment/>
    </xf>
    <xf numFmtId="0" fontId="24" fillId="8" borderId="0" xfId="0" applyFont="1" applyFill="1" applyBorder="1" applyAlignment="1">
      <alignment/>
    </xf>
    <xf numFmtId="0" fontId="8" fillId="8" borderId="51" xfId="0" applyFont="1" applyFill="1" applyBorder="1" applyAlignment="1">
      <alignment vertical="center"/>
    </xf>
    <xf numFmtId="0" fontId="24" fillId="8" borderId="0" xfId="0" applyFont="1" applyFill="1" applyBorder="1" applyAlignment="1">
      <alignment vertical="center"/>
    </xf>
    <xf numFmtId="167" fontId="26" fillId="8" borderId="0" xfId="0" applyNumberFormat="1" applyFont="1" applyFill="1" applyBorder="1" applyAlignment="1">
      <alignment vertical="center"/>
    </xf>
    <xf numFmtId="0" fontId="26" fillId="8" borderId="0" xfId="0" applyFont="1" applyFill="1" applyBorder="1" applyAlignment="1">
      <alignment vertical="center"/>
    </xf>
    <xf numFmtId="1" fontId="26" fillId="8" borderId="0" xfId="0" applyNumberFormat="1" applyFont="1" applyFill="1" applyBorder="1" applyAlignment="1">
      <alignment vertical="center"/>
    </xf>
    <xf numFmtId="0" fontId="26" fillId="8" borderId="51" xfId="0" applyFont="1" applyFill="1" applyBorder="1" applyAlignment="1">
      <alignment vertical="center"/>
    </xf>
    <xf numFmtId="0" fontId="28" fillId="8" borderId="0" xfId="0" applyFont="1" applyFill="1" applyBorder="1" applyAlignment="1">
      <alignment/>
    </xf>
    <xf numFmtId="0" fontId="28" fillId="8" borderId="0" xfId="0" applyFont="1" applyFill="1" applyAlignment="1">
      <alignment/>
    </xf>
    <xf numFmtId="0" fontId="20" fillId="8" borderId="0" xfId="0" applyFont="1" applyFill="1" applyBorder="1" applyAlignment="1">
      <alignment/>
    </xf>
    <xf numFmtId="0" fontId="22" fillId="8" borderId="0" xfId="0" applyFont="1" applyFill="1" applyBorder="1" applyAlignment="1">
      <alignment/>
    </xf>
    <xf numFmtId="0" fontId="22" fillId="8" borderId="0" xfId="0" applyFont="1" applyFill="1" applyAlignment="1">
      <alignment/>
    </xf>
    <xf numFmtId="0" fontId="0" fillId="8" borderId="0" xfId="0" applyFont="1" applyFill="1" applyBorder="1" applyAlignment="1">
      <alignment vertical="center"/>
    </xf>
    <xf numFmtId="4" fontId="22" fillId="8" borderId="0" xfId="0" applyNumberFormat="1" applyFont="1" applyFill="1" applyBorder="1" applyAlignment="1">
      <alignment/>
    </xf>
    <xf numFmtId="167" fontId="22" fillId="8" borderId="0" xfId="0" applyNumberFormat="1" applyFont="1" applyFill="1" applyBorder="1" applyAlignment="1">
      <alignment/>
    </xf>
    <xf numFmtId="4" fontId="26" fillId="8" borderId="0" xfId="0" applyNumberFormat="1" applyFont="1" applyFill="1" applyBorder="1" applyAlignment="1">
      <alignment vertical="center"/>
    </xf>
    <xf numFmtId="4" fontId="23" fillId="8" borderId="0" xfId="0" applyNumberFormat="1" applyFont="1" applyFill="1" applyBorder="1" applyAlignment="1">
      <alignment vertical="center"/>
    </xf>
    <xf numFmtId="0" fontId="20" fillId="8" borderId="51" xfId="0" applyFont="1" applyFill="1" applyBorder="1" applyAlignment="1" applyProtection="1">
      <alignment horizontal="right" vertical="center"/>
      <protection/>
    </xf>
    <xf numFmtId="0" fontId="25" fillId="8" borderId="51" xfId="0" applyFont="1" applyFill="1" applyBorder="1" applyAlignment="1" applyProtection="1">
      <alignment horizontal="right" vertical="center"/>
      <protection/>
    </xf>
    <xf numFmtId="0" fontId="20" fillId="8" borderId="0" xfId="0" applyFont="1" applyFill="1" applyAlignment="1" applyProtection="1">
      <alignment horizontal="right" vertical="center"/>
      <protection/>
    </xf>
    <xf numFmtId="0" fontId="25" fillId="8" borderId="66" xfId="0" applyFont="1" applyFill="1" applyBorder="1" applyAlignment="1" applyProtection="1">
      <alignment horizontal="right" vertical="center"/>
      <protection/>
    </xf>
    <xf numFmtId="0" fontId="7" fillId="8" borderId="0" xfId="0" applyFont="1" applyFill="1" applyAlignment="1">
      <alignment/>
    </xf>
    <xf numFmtId="4" fontId="7" fillId="8" borderId="0" xfId="0" applyNumberFormat="1" applyFont="1" applyFill="1" applyAlignment="1">
      <alignment/>
    </xf>
    <xf numFmtId="4" fontId="24" fillId="8" borderId="0" xfId="0" applyNumberFormat="1" applyFont="1" applyFill="1" applyAlignment="1">
      <alignment/>
    </xf>
    <xf numFmtId="4" fontId="0" fillId="8" borderId="0" xfId="0" applyNumberFormat="1" applyFill="1" applyAlignment="1">
      <alignment/>
    </xf>
    <xf numFmtId="2" fontId="8" fillId="8" borderId="20" xfId="0" applyNumberFormat="1" applyFont="1" applyFill="1" applyBorder="1" applyAlignment="1">
      <alignment horizontal="center" vertical="center"/>
    </xf>
    <xf numFmtId="2" fontId="8" fillId="8" borderId="0" xfId="0" applyNumberFormat="1" applyFont="1" applyFill="1" applyBorder="1" applyAlignment="1">
      <alignment horizontal="center" vertical="center"/>
    </xf>
    <xf numFmtId="2" fontId="30" fillId="8" borderId="0" xfId="0" applyNumberFormat="1" applyFont="1" applyFill="1" applyBorder="1" applyAlignment="1" applyProtection="1">
      <alignment horizontal="center" vertical="center" wrapText="1"/>
      <protection/>
    </xf>
    <xf numFmtId="2" fontId="8" fillId="8" borderId="20" xfId="0" applyNumberFormat="1" applyFont="1" applyFill="1" applyBorder="1" applyAlignment="1">
      <alignment horizontal="center" vertical="center" wrapText="1"/>
    </xf>
    <xf numFmtId="2" fontId="8" fillId="8" borderId="0" xfId="0" applyNumberFormat="1" applyFont="1" applyFill="1" applyBorder="1" applyAlignment="1">
      <alignment horizontal="center" vertical="center" wrapText="1"/>
    </xf>
    <xf numFmtId="2" fontId="8" fillId="8" borderId="0" xfId="0" applyNumberFormat="1" applyFont="1" applyFill="1" applyBorder="1" applyAlignment="1" applyProtection="1">
      <alignment horizontal="center" vertical="center" wrapText="1"/>
      <protection/>
    </xf>
    <xf numFmtId="167" fontId="0" fillId="8" borderId="20" xfId="0" applyNumberFormat="1" applyFont="1" applyFill="1" applyBorder="1" applyAlignment="1">
      <alignment horizontal="center" vertical="center"/>
    </xf>
    <xf numFmtId="167" fontId="0" fillId="8" borderId="0" xfId="0" applyNumberFormat="1" applyFill="1" applyBorder="1" applyAlignment="1">
      <alignment vertical="center"/>
    </xf>
    <xf numFmtId="167" fontId="0" fillId="8" borderId="0" xfId="0" applyNumberFormat="1" applyFont="1" applyFill="1" applyBorder="1" applyAlignment="1">
      <alignment horizontal="center" vertical="center"/>
    </xf>
    <xf numFmtId="2" fontId="0" fillId="8" borderId="0" xfId="0" applyNumberFormat="1" applyFont="1" applyFill="1" applyBorder="1" applyAlignment="1" applyProtection="1">
      <alignment horizontal="center" vertical="center"/>
      <protection/>
    </xf>
    <xf numFmtId="167" fontId="0" fillId="8" borderId="0" xfId="0" applyNumberFormat="1" applyFont="1" applyFill="1" applyBorder="1" applyAlignment="1">
      <alignment horizontal="right" vertical="center"/>
    </xf>
    <xf numFmtId="165" fontId="24" fillId="8" borderId="0" xfId="0" applyNumberFormat="1" applyFont="1" applyFill="1" applyAlignment="1">
      <alignment/>
    </xf>
    <xf numFmtId="175" fontId="8" fillId="8" borderId="0" xfId="0" applyNumberFormat="1" applyFont="1" applyFill="1" applyBorder="1" applyAlignment="1">
      <alignment horizontal="right" vertical="top"/>
    </xf>
    <xf numFmtId="167" fontId="0" fillId="8" borderId="20" xfId="0" applyNumberFormat="1" applyFont="1" applyFill="1" applyBorder="1" applyAlignment="1">
      <alignment horizontal="center" vertical="center" wrapText="1"/>
    </xf>
    <xf numFmtId="167" fontId="0" fillId="8" borderId="0" xfId="0" applyNumberFormat="1" applyFont="1" applyFill="1" applyBorder="1" applyAlignment="1">
      <alignment horizontal="center" vertical="center" wrapText="1"/>
    </xf>
    <xf numFmtId="0" fontId="24" fillId="8" borderId="0" xfId="0" applyFont="1" applyFill="1" applyAlignment="1">
      <alignment horizontal="left"/>
    </xf>
    <xf numFmtId="4" fontId="24" fillId="8" borderId="0" xfId="0" applyNumberFormat="1" applyFont="1" applyFill="1" applyBorder="1" applyAlignment="1">
      <alignment/>
    </xf>
    <xf numFmtId="0" fontId="6" fillId="8" borderId="0" xfId="0" applyFont="1" applyFill="1" applyBorder="1" applyAlignment="1">
      <alignment/>
    </xf>
    <xf numFmtId="0" fontId="29" fillId="8" borderId="0" xfId="0" applyFont="1" applyFill="1" applyBorder="1" applyAlignment="1">
      <alignment/>
    </xf>
    <xf numFmtId="0" fontId="24" fillId="8" borderId="0" xfId="0" applyFont="1" applyFill="1" applyBorder="1" applyAlignment="1">
      <alignment/>
    </xf>
    <xf numFmtId="0" fontId="28" fillId="8" borderId="0" xfId="0" applyFont="1" applyFill="1" applyBorder="1" applyAlignment="1">
      <alignment/>
    </xf>
    <xf numFmtId="0" fontId="22" fillId="8" borderId="0" xfId="0" applyFont="1" applyFill="1" applyBorder="1" applyAlignment="1">
      <alignment/>
    </xf>
    <xf numFmtId="165" fontId="23" fillId="8" borderId="0" xfId="0" applyNumberFormat="1" applyFont="1" applyFill="1" applyBorder="1" applyAlignment="1">
      <alignment vertical="center"/>
    </xf>
    <xf numFmtId="165" fontId="24" fillId="8" borderId="0" xfId="0" applyNumberFormat="1" applyFont="1" applyFill="1" applyBorder="1" applyAlignment="1">
      <alignment/>
    </xf>
    <xf numFmtId="165" fontId="24" fillId="8" borderId="0" xfId="0" applyNumberFormat="1" applyFont="1" applyFill="1" applyBorder="1" applyAlignment="1">
      <alignment/>
    </xf>
    <xf numFmtId="0" fontId="8" fillId="0" borderId="51" xfId="0" applyFont="1" applyFill="1" applyBorder="1" applyAlignment="1">
      <alignment vertical="center"/>
    </xf>
    <xf numFmtId="0" fontId="21" fillId="0" borderId="0" xfId="0" applyFont="1" applyFill="1" applyAlignment="1">
      <alignment/>
    </xf>
    <xf numFmtId="0" fontId="21" fillId="0" borderId="19" xfId="0" applyFont="1" applyFill="1" applyBorder="1" applyAlignment="1">
      <alignment horizontal="center"/>
    </xf>
    <xf numFmtId="0" fontId="21" fillId="0" borderId="19" xfId="0" applyFont="1" applyFill="1" applyBorder="1" applyAlignment="1">
      <alignment horizontal="center" wrapText="1"/>
    </xf>
    <xf numFmtId="0" fontId="21" fillId="0" borderId="0" xfId="0" applyFont="1" applyFill="1" applyBorder="1" applyAlignment="1">
      <alignment horizontal="center" wrapText="1"/>
    </xf>
    <xf numFmtId="0" fontId="21" fillId="0" borderId="16" xfId="0" applyFont="1" applyFill="1" applyBorder="1" applyAlignment="1">
      <alignment horizontal="center" wrapText="1"/>
    </xf>
    <xf numFmtId="0" fontId="6" fillId="8" borderId="0" xfId="0" applyFont="1" applyFill="1" applyBorder="1" applyAlignment="1">
      <alignment vertical="center"/>
    </xf>
    <xf numFmtId="0" fontId="8" fillId="8" borderId="0" xfId="0" applyFont="1" applyFill="1" applyAlignment="1">
      <alignment/>
    </xf>
    <xf numFmtId="0" fontId="33" fillId="8" borderId="0" xfId="0" applyFont="1" applyFill="1" applyAlignment="1">
      <alignment/>
    </xf>
    <xf numFmtId="0" fontId="8" fillId="8" borderId="0" xfId="0" applyFont="1" applyFill="1" applyBorder="1" applyAlignment="1">
      <alignment vertical="center"/>
    </xf>
    <xf numFmtId="0" fontId="25" fillId="8" borderId="0" xfId="0" applyFont="1" applyFill="1" applyBorder="1" applyAlignment="1" applyProtection="1">
      <alignment horizontal="right" vertical="center"/>
      <protection/>
    </xf>
    <xf numFmtId="0" fontId="25" fillId="8" borderId="66" xfId="0" applyFont="1" applyFill="1" applyBorder="1" applyAlignment="1">
      <alignment vertical="center"/>
    </xf>
    <xf numFmtId="0" fontId="30" fillId="8" borderId="66" xfId="0" applyFont="1" applyFill="1" applyBorder="1" applyAlignment="1">
      <alignment vertical="center"/>
    </xf>
    <xf numFmtId="0" fontId="30" fillId="8" borderId="0" xfId="0" applyFont="1" applyFill="1" applyBorder="1" applyAlignment="1">
      <alignment vertical="center"/>
    </xf>
    <xf numFmtId="4" fontId="25" fillId="8" borderId="0" xfId="0" applyNumberFormat="1" applyFont="1" applyFill="1" applyBorder="1" applyAlignment="1">
      <alignment vertical="center"/>
    </xf>
    <xf numFmtId="0" fontId="25" fillId="8" borderId="0" xfId="0" applyFont="1" applyFill="1" applyBorder="1" applyAlignment="1">
      <alignment vertical="center"/>
    </xf>
    <xf numFmtId="167" fontId="25" fillId="8" borderId="0" xfId="0" applyNumberFormat="1" applyFont="1" applyFill="1" applyBorder="1" applyAlignment="1">
      <alignment vertical="center"/>
    </xf>
    <xf numFmtId="0" fontId="12" fillId="8" borderId="0" xfId="0" applyFont="1" applyFill="1" applyBorder="1" applyAlignment="1">
      <alignment vertical="center"/>
    </xf>
    <xf numFmtId="4" fontId="114" fillId="8" borderId="0" xfId="0" applyNumberFormat="1" applyFont="1" applyFill="1" applyBorder="1" applyAlignment="1">
      <alignment vertical="center"/>
    </xf>
    <xf numFmtId="1" fontId="25" fillId="8" borderId="0" xfId="0" applyNumberFormat="1" applyFont="1" applyFill="1" applyBorder="1" applyAlignment="1">
      <alignment vertical="center"/>
    </xf>
    <xf numFmtId="165" fontId="114" fillId="8" borderId="0" xfId="0" applyNumberFormat="1" applyFont="1" applyFill="1" applyBorder="1" applyAlignment="1">
      <alignment vertical="center"/>
    </xf>
    <xf numFmtId="4" fontId="12" fillId="8" borderId="0" xfId="0" applyNumberFormat="1" applyFont="1" applyFill="1" applyBorder="1" applyAlignment="1">
      <alignment vertical="center"/>
    </xf>
    <xf numFmtId="167" fontId="12" fillId="8" borderId="0" xfId="0" applyNumberFormat="1" applyFont="1" applyFill="1" applyBorder="1" applyAlignment="1">
      <alignment vertical="center"/>
    </xf>
    <xf numFmtId="0" fontId="19" fillId="8" borderId="0" xfId="0" applyFont="1" applyFill="1" applyBorder="1" applyAlignment="1">
      <alignment vertical="center"/>
    </xf>
    <xf numFmtId="0" fontId="98" fillId="8" borderId="0" xfId="0" applyFont="1" applyFill="1" applyBorder="1" applyAlignment="1">
      <alignment/>
    </xf>
    <xf numFmtId="0" fontId="109" fillId="0" borderId="0" xfId="0" applyFont="1" applyAlignment="1">
      <alignment horizontal="left" indent="1"/>
    </xf>
    <xf numFmtId="0" fontId="64" fillId="0" borderId="0" xfId="0" applyFont="1" applyFill="1" applyAlignment="1">
      <alignment/>
    </xf>
    <xf numFmtId="0" fontId="29" fillId="0" borderId="0" xfId="0" applyFont="1" applyFill="1" applyAlignment="1">
      <alignment/>
    </xf>
    <xf numFmtId="0" fontId="42" fillId="0" borderId="0" xfId="0" applyFont="1" applyBorder="1" applyAlignment="1">
      <alignment horizontal="center" wrapText="1"/>
    </xf>
    <xf numFmtId="167" fontId="42" fillId="0" borderId="1" xfId="0" applyNumberFormat="1" applyFont="1" applyBorder="1" applyAlignment="1">
      <alignment horizontal="center"/>
    </xf>
    <xf numFmtId="0" fontId="63" fillId="0" borderId="0" xfId="0" applyFont="1" applyAlignment="1">
      <alignment horizontal="left" indent="2"/>
    </xf>
    <xf numFmtId="0" fontId="109" fillId="0" borderId="0" xfId="0" applyFont="1" applyBorder="1" applyAlignment="1">
      <alignment/>
    </xf>
    <xf numFmtId="0" fontId="109" fillId="0" borderId="0" xfId="0" applyFont="1" applyFill="1" applyBorder="1" applyAlignment="1">
      <alignment horizontal="right"/>
    </xf>
    <xf numFmtId="3" fontId="42" fillId="0" borderId="0" xfId="0" applyNumberFormat="1" applyFont="1" applyAlignment="1">
      <alignment/>
    </xf>
    <xf numFmtId="3" fontId="42" fillId="0" borderId="1" xfId="0" applyNumberFormat="1" applyFont="1" applyBorder="1" applyAlignment="1">
      <alignment/>
    </xf>
    <xf numFmtId="0" fontId="0" fillId="0" borderId="0" xfId="0" applyFont="1" applyFill="1" applyAlignment="1">
      <alignment/>
    </xf>
    <xf numFmtId="0" fontId="116" fillId="0" borderId="0" xfId="0" applyFont="1" applyAlignment="1">
      <alignment horizontal="left" indent="1"/>
    </xf>
    <xf numFmtId="0" fontId="42" fillId="0" borderId="20" xfId="0" applyFont="1" applyFill="1" applyBorder="1" applyAlignment="1">
      <alignment/>
    </xf>
    <xf numFmtId="1" fontId="42" fillId="0" borderId="0" xfId="0" applyNumberFormat="1" applyFont="1" applyFill="1" applyAlignment="1">
      <alignment/>
    </xf>
    <xf numFmtId="1" fontId="42" fillId="0" borderId="0" xfId="0" applyNumberFormat="1" applyFont="1" applyFill="1" applyBorder="1" applyAlignment="1">
      <alignment/>
    </xf>
    <xf numFmtId="1" fontId="42" fillId="0" borderId="50" xfId="0" applyNumberFormat="1" applyFont="1" applyFill="1" applyBorder="1" applyAlignment="1">
      <alignment/>
    </xf>
    <xf numFmtId="0" fontId="0" fillId="0" borderId="1" xfId="0" applyFont="1" applyFill="1" applyBorder="1" applyAlignment="1">
      <alignment horizontal="left"/>
    </xf>
    <xf numFmtId="9" fontId="42" fillId="0" borderId="1" xfId="0" applyNumberFormat="1" applyFont="1" applyFill="1" applyBorder="1" applyAlignment="1">
      <alignment/>
    </xf>
    <xf numFmtId="0" fontId="64" fillId="0" borderId="0" xfId="0" applyFont="1" applyAlignment="1">
      <alignment/>
    </xf>
    <xf numFmtId="2" fontId="42" fillId="0" borderId="1" xfId="0" applyNumberFormat="1" applyFont="1" applyBorder="1" applyAlignment="1">
      <alignment/>
    </xf>
    <xf numFmtId="2" fontId="30" fillId="8" borderId="0" xfId="0" applyNumberFormat="1" applyFont="1" applyFill="1" applyAlignment="1">
      <alignment/>
    </xf>
    <xf numFmtId="0" fontId="89" fillId="13" borderId="50" xfId="0" applyFont="1" applyFill="1" applyBorder="1" applyAlignment="1">
      <alignment vertical="center" wrapText="1"/>
    </xf>
    <xf numFmtId="0" fontId="89" fillId="13" borderId="50" xfId="0" applyFont="1" applyFill="1" applyBorder="1" applyAlignment="1">
      <alignment vertical="center"/>
    </xf>
    <xf numFmtId="0" fontId="111" fillId="13" borderId="50" xfId="0" applyFont="1" applyFill="1" applyBorder="1" applyAlignment="1">
      <alignment vertical="center"/>
    </xf>
    <xf numFmtId="0" fontId="110" fillId="13" borderId="50" xfId="0" applyFont="1" applyFill="1" applyBorder="1" applyAlignment="1">
      <alignment vertical="center"/>
    </xf>
    <xf numFmtId="0" fontId="89" fillId="13" borderId="50" xfId="0" applyFont="1" applyFill="1" applyBorder="1" applyAlignment="1">
      <alignment/>
    </xf>
    <xf numFmtId="0" fontId="111" fillId="13" borderId="50" xfId="0" applyFont="1" applyFill="1" applyBorder="1" applyAlignment="1">
      <alignment/>
    </xf>
    <xf numFmtId="0" fontId="110" fillId="13" borderId="50" xfId="0" applyFont="1" applyFill="1" applyBorder="1" applyAlignment="1">
      <alignment/>
    </xf>
    <xf numFmtId="0" fontId="89" fillId="13" borderId="50" xfId="0" applyFont="1" applyFill="1" applyBorder="1" applyAlignment="1">
      <alignment wrapText="1"/>
    </xf>
    <xf numFmtId="0" fontId="64" fillId="13" borderId="50" xfId="0" applyFont="1" applyFill="1" applyBorder="1" applyAlignment="1">
      <alignment/>
    </xf>
    <xf numFmtId="0" fontId="42" fillId="13" borderId="50" xfId="0" applyFont="1" applyFill="1" applyBorder="1" applyAlignment="1">
      <alignment/>
    </xf>
    <xf numFmtId="0" fontId="42" fillId="13" borderId="67" xfId="0" applyFont="1" applyFill="1" applyBorder="1" applyAlignment="1">
      <alignment/>
    </xf>
    <xf numFmtId="0" fontId="43" fillId="13" borderId="50" xfId="0" applyFont="1" applyFill="1" applyBorder="1" applyAlignment="1">
      <alignment vertical="center"/>
    </xf>
    <xf numFmtId="0" fontId="42" fillId="13" borderId="0" xfId="0" applyFont="1" applyFill="1" applyAlignment="1">
      <alignment/>
    </xf>
    <xf numFmtId="0" fontId="64" fillId="13" borderId="63" xfId="0" applyFont="1" applyFill="1" applyBorder="1" applyAlignment="1">
      <alignment/>
    </xf>
    <xf numFmtId="0" fontId="63" fillId="0" borderId="54" xfId="0" applyFont="1" applyBorder="1" applyAlignment="1">
      <alignment horizontal="center"/>
    </xf>
    <xf numFmtId="0" fontId="113" fillId="13" borderId="68" xfId="0" applyFont="1" applyFill="1" applyBorder="1" applyAlignment="1">
      <alignment/>
    </xf>
    <xf numFmtId="3" fontId="113" fillId="13" borderId="68" xfId="0" applyNumberFormat="1" applyFont="1" applyFill="1" applyBorder="1" applyAlignment="1">
      <alignment horizontal="center"/>
    </xf>
    <xf numFmtId="3" fontId="113" fillId="13" borderId="68" xfId="0" applyNumberFormat="1" applyFont="1" applyFill="1" applyBorder="1" applyAlignment="1">
      <alignment/>
    </xf>
    <xf numFmtId="0" fontId="42" fillId="0" borderId="21" xfId="0" applyFont="1" applyBorder="1" applyAlignment="1">
      <alignment horizontal="left" indent="1"/>
    </xf>
    <xf numFmtId="3" fontId="42" fillId="0" borderId="21" xfId="0" applyNumberFormat="1" applyFont="1" applyBorder="1" applyAlignment="1">
      <alignment horizontal="center"/>
    </xf>
    <xf numFmtId="3" fontId="42" fillId="0" borderId="21" xfId="0" applyNumberFormat="1" applyFont="1" applyBorder="1" applyAlignment="1">
      <alignment/>
    </xf>
    <xf numFmtId="0" fontId="78" fillId="0" borderId="54" xfId="0" applyFont="1" applyBorder="1" applyAlignment="1">
      <alignment horizontal="center"/>
    </xf>
    <xf numFmtId="0" fontId="119" fillId="13" borderId="68" xfId="0" applyFont="1" applyFill="1" applyBorder="1" applyAlignment="1">
      <alignment/>
    </xf>
    <xf numFmtId="3" fontId="119" fillId="13" borderId="68" xfId="0" applyNumberFormat="1" applyFont="1" applyFill="1" applyBorder="1" applyAlignment="1">
      <alignment horizontal="center"/>
    </xf>
    <xf numFmtId="3" fontId="119" fillId="13" borderId="68" xfId="0" applyNumberFormat="1" applyFont="1" applyFill="1" applyBorder="1" applyAlignment="1">
      <alignment/>
    </xf>
    <xf numFmtId="0" fontId="97" fillId="13" borderId="63" xfId="0" applyFont="1" applyFill="1" applyBorder="1" applyAlignment="1">
      <alignment/>
    </xf>
    <xf numFmtId="0" fontId="97" fillId="13" borderId="63" xfId="0" applyFont="1" applyFill="1" applyBorder="1" applyAlignment="1">
      <alignment horizontal="left" indent="1"/>
    </xf>
    <xf numFmtId="0" fontId="97" fillId="13" borderId="63" xfId="0" applyFont="1" applyFill="1" applyBorder="1" applyAlignment="1">
      <alignment horizontal="center"/>
    </xf>
    <xf numFmtId="0" fontId="97" fillId="13" borderId="0" xfId="0" applyFont="1" applyFill="1" applyAlignment="1">
      <alignment horizontal="left" indent="1"/>
    </xf>
    <xf numFmtId="0" fontId="97" fillId="13" borderId="0" xfId="0" applyFont="1" applyFill="1" applyAlignment="1">
      <alignment/>
    </xf>
    <xf numFmtId="0" fontId="97" fillId="13" borderId="0" xfId="0" applyFont="1" applyFill="1" applyAlignment="1">
      <alignment horizontal="center"/>
    </xf>
    <xf numFmtId="0" fontId="25" fillId="13" borderId="63" xfId="0" applyFont="1" applyFill="1" applyBorder="1" applyAlignment="1">
      <alignment horizontal="left" indent="1"/>
    </xf>
    <xf numFmtId="0" fontId="25" fillId="13" borderId="63" xfId="0" applyFont="1" applyFill="1" applyBorder="1" applyAlignment="1">
      <alignment/>
    </xf>
    <xf numFmtId="0" fontId="25" fillId="13" borderId="63" xfId="0" applyFont="1" applyFill="1" applyBorder="1" applyAlignment="1">
      <alignment horizontal="center"/>
    </xf>
    <xf numFmtId="0" fontId="97" fillId="13" borderId="0" xfId="0" applyFont="1" applyFill="1" applyBorder="1" applyAlignment="1">
      <alignment horizontal="left" indent="1"/>
    </xf>
    <xf numFmtId="0" fontId="97" fillId="13" borderId="0" xfId="0" applyFont="1" applyFill="1" applyBorder="1" applyAlignment="1">
      <alignment/>
    </xf>
    <xf numFmtId="0" fontId="25" fillId="13" borderId="63" xfId="0" applyFont="1" applyFill="1" applyBorder="1" applyAlignment="1">
      <alignment/>
    </xf>
    <xf numFmtId="0" fontId="25" fillId="13" borderId="63" xfId="0" applyFont="1" applyFill="1" applyBorder="1" applyAlignment="1">
      <alignment horizontal="center"/>
    </xf>
    <xf numFmtId="0" fontId="97" fillId="13" borderId="0" xfId="0" applyFont="1" applyFill="1" applyAlignment="1">
      <alignment/>
    </xf>
    <xf numFmtId="0" fontId="97" fillId="13" borderId="0" xfId="0" applyFont="1" applyFill="1" applyAlignment="1">
      <alignment horizontal="center"/>
    </xf>
    <xf numFmtId="0" fontId="25" fillId="13" borderId="0" xfId="0" applyFont="1" applyFill="1" applyAlignment="1">
      <alignment horizontal="left" indent="1"/>
    </xf>
    <xf numFmtId="0" fontId="29" fillId="13" borderId="0" xfId="0" applyFont="1" applyFill="1" applyAlignment="1">
      <alignment/>
    </xf>
    <xf numFmtId="0" fontId="29" fillId="13" borderId="0" xfId="0" applyFont="1" applyFill="1" applyAlignment="1">
      <alignment horizontal="center"/>
    </xf>
    <xf numFmtId="0" fontId="97" fillId="13" borderId="63" xfId="0" applyFont="1" applyFill="1" applyBorder="1" applyAlignment="1">
      <alignment horizontal="left"/>
    </xf>
    <xf numFmtId="4" fontId="97" fillId="13" borderId="63" xfId="0" applyNumberFormat="1" applyFont="1" applyFill="1" applyBorder="1" applyAlignment="1">
      <alignment horizontal="left"/>
    </xf>
    <xf numFmtId="4" fontId="97" fillId="13" borderId="63" xfId="0" applyNumberFormat="1" applyFont="1" applyFill="1" applyBorder="1" applyAlignment="1">
      <alignment/>
    </xf>
    <xf numFmtId="165" fontId="97" fillId="13" borderId="63" xfId="0" applyNumberFormat="1" applyFont="1" applyFill="1" applyBorder="1" applyAlignment="1">
      <alignment/>
    </xf>
    <xf numFmtId="0" fontId="97" fillId="13" borderId="63" xfId="0" applyFont="1" applyFill="1" applyBorder="1" applyAlignment="1">
      <alignment/>
    </xf>
    <xf numFmtId="0" fontId="29" fillId="13" borderId="63" xfId="0" applyFont="1" applyFill="1" applyBorder="1" applyAlignment="1">
      <alignment/>
    </xf>
    <xf numFmtId="4" fontId="29" fillId="13" borderId="63" xfId="0" applyNumberFormat="1" applyFont="1" applyFill="1" applyBorder="1" applyAlignment="1">
      <alignment horizontal="right"/>
    </xf>
    <xf numFmtId="185" fontId="29" fillId="13" borderId="63" xfId="0" applyNumberFormat="1" applyFont="1" applyFill="1" applyBorder="1" applyAlignment="1">
      <alignment horizontal="right"/>
    </xf>
    <xf numFmtId="0" fontId="99" fillId="13" borderId="63" xfId="46" applyFont="1" applyFill="1" applyBorder="1" applyAlignment="1">
      <alignment/>
    </xf>
    <xf numFmtId="49" fontId="97" fillId="13" borderId="63" xfId="0" applyNumberFormat="1" applyFont="1" applyFill="1" applyBorder="1" applyAlignment="1">
      <alignment/>
    </xf>
    <xf numFmtId="0" fontId="97" fillId="13" borderId="63" xfId="0" applyFont="1" applyFill="1" applyBorder="1" applyAlignment="1">
      <alignment wrapText="1"/>
    </xf>
    <xf numFmtId="0" fontId="108" fillId="0" borderId="0" xfId="0" applyFont="1" applyAlignment="1">
      <alignment vertical="center"/>
    </xf>
    <xf numFmtId="0" fontId="42" fillId="0" borderId="0" xfId="0" applyFont="1" applyAlignment="1" applyProtection="1">
      <alignment horizontal="left"/>
      <protection locked="0"/>
    </xf>
    <xf numFmtId="9" fontId="42" fillId="8" borderId="1" xfId="0" applyNumberFormat="1" applyFont="1" applyFill="1" applyBorder="1" applyAlignment="1" applyProtection="1">
      <alignment/>
      <protection locked="0"/>
    </xf>
    <xf numFmtId="3" fontId="42" fillId="0" borderId="1" xfId="0" applyNumberFormat="1" applyFont="1" applyFill="1" applyBorder="1" applyAlignment="1" applyProtection="1">
      <alignment horizontal="center"/>
      <protection locked="0"/>
    </xf>
    <xf numFmtId="0" fontId="0" fillId="0" borderId="21" xfId="0" applyFill="1" applyBorder="1" applyAlignment="1">
      <alignment horizontal="right"/>
    </xf>
    <xf numFmtId="0" fontId="0" fillId="0" borderId="3" xfId="0" applyFill="1" applyBorder="1" applyAlignment="1">
      <alignment horizontal="right"/>
    </xf>
    <xf numFmtId="0" fontId="0" fillId="0" borderId="0" xfId="0" applyFill="1" applyBorder="1" applyAlignment="1">
      <alignment horizontal="right"/>
    </xf>
    <xf numFmtId="0" fontId="0" fillId="0" borderId="0" xfId="0" applyFill="1" applyBorder="1" applyAlignment="1">
      <alignment horizontal="center"/>
    </xf>
    <xf numFmtId="0" fontId="0" fillId="0" borderId="0" xfId="0" applyFill="1" applyAlignment="1">
      <alignment horizontal="right"/>
    </xf>
    <xf numFmtId="167" fontId="0" fillId="0" borderId="0" xfId="0" applyNumberFormat="1" applyFill="1" applyAlignment="1">
      <alignment horizontal="right"/>
    </xf>
    <xf numFmtId="164" fontId="0" fillId="0" borderId="0" xfId="0" applyNumberFormat="1" applyFill="1" applyAlignment="1">
      <alignment horizontal="right"/>
    </xf>
    <xf numFmtId="1" fontId="0" fillId="0" borderId="0" xfId="0" applyNumberFormat="1" applyFill="1" applyBorder="1" applyAlignment="1">
      <alignment/>
    </xf>
    <xf numFmtId="165" fontId="0" fillId="0" borderId="0" xfId="0" applyNumberFormat="1" applyFill="1" applyAlignment="1">
      <alignment/>
    </xf>
    <xf numFmtId="2" fontId="8"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167" fontId="0" fillId="0" borderId="0" xfId="0" applyNumberFormat="1" applyFont="1" applyFill="1" applyBorder="1" applyAlignment="1">
      <alignment horizontal="center" vertical="center"/>
    </xf>
    <xf numFmtId="167" fontId="0" fillId="0" borderId="0" xfId="0" applyNumberFormat="1" applyFill="1" applyBorder="1" applyAlignment="1">
      <alignment vertical="center"/>
    </xf>
    <xf numFmtId="2" fontId="0" fillId="0" borderId="0" xfId="0" applyNumberFormat="1" applyFont="1" applyFill="1" applyBorder="1" applyAlignment="1" applyProtection="1">
      <alignment horizontal="center" vertical="center"/>
      <protection/>
    </xf>
    <xf numFmtId="169" fontId="0" fillId="0" borderId="0" xfId="0" applyNumberFormat="1" applyFill="1" applyBorder="1" applyAlignment="1">
      <alignment vertical="center"/>
    </xf>
    <xf numFmtId="0" fontId="29" fillId="0" borderId="0" xfId="0" applyFont="1" applyFill="1" applyBorder="1" applyAlignment="1">
      <alignment/>
    </xf>
    <xf numFmtId="0" fontId="0" fillId="0" borderId="0" xfId="0" applyFill="1" applyBorder="1" applyAlignment="1">
      <alignment horizontal="center" vertical="center" wrapText="1"/>
    </xf>
    <xf numFmtId="166" fontId="0" fillId="0" borderId="0" xfId="0" applyNumberFormat="1" applyFill="1" applyBorder="1" applyAlignment="1">
      <alignment/>
    </xf>
    <xf numFmtId="2" fontId="0" fillId="0" borderId="0" xfId="0" applyNumberFormat="1" applyFont="1" applyFill="1" applyBorder="1" applyAlignment="1">
      <alignment horizontal="center" vertical="center" wrapText="1"/>
    </xf>
    <xf numFmtId="167" fontId="0" fillId="0" borderId="0" xfId="0" applyNumberFormat="1" applyFont="1" applyFill="1" applyBorder="1" applyAlignment="1">
      <alignment horizontal="right" vertical="center"/>
    </xf>
    <xf numFmtId="0" fontId="0" fillId="0" borderId="0" xfId="0" applyFont="1" applyFill="1" applyBorder="1" applyAlignment="1">
      <alignment/>
    </xf>
    <xf numFmtId="167" fontId="0" fillId="0" borderId="0" xfId="0" applyNumberFormat="1" applyFont="1" applyFill="1" applyBorder="1" applyAlignment="1">
      <alignment horizontal="center" vertical="center" wrapText="1"/>
    </xf>
    <xf numFmtId="167" fontId="0" fillId="0" borderId="0" xfId="0" applyNumberFormat="1" applyFont="1" applyFill="1" applyBorder="1" applyAlignment="1">
      <alignment horizontal="left" vertical="center" wrapText="1"/>
    </xf>
    <xf numFmtId="2" fontId="31" fillId="0" borderId="0" xfId="0" applyNumberFormat="1" applyFont="1" applyFill="1" applyBorder="1" applyAlignment="1">
      <alignment horizontal="center" vertical="center"/>
    </xf>
    <xf numFmtId="2" fontId="0" fillId="0" borderId="19" xfId="0" applyNumberFormat="1" applyFont="1" applyFill="1" applyBorder="1" applyAlignment="1">
      <alignment horizontal="center" vertical="center"/>
    </xf>
    <xf numFmtId="167" fontId="0" fillId="0" borderId="19" xfId="0" applyNumberFormat="1" applyFont="1" applyFill="1" applyBorder="1" applyAlignment="1">
      <alignment horizontal="center" vertical="center"/>
    </xf>
    <xf numFmtId="167" fontId="0" fillId="0" borderId="19" xfId="0" applyNumberFormat="1" applyFill="1" applyBorder="1" applyAlignment="1">
      <alignment vertical="center"/>
    </xf>
    <xf numFmtId="2" fontId="0" fillId="0" borderId="19" xfId="0" applyNumberFormat="1" applyFont="1" applyFill="1" applyBorder="1" applyAlignment="1" applyProtection="1">
      <alignment horizontal="center" vertical="center"/>
      <protection/>
    </xf>
    <xf numFmtId="169" fontId="0" fillId="0" borderId="19" xfId="0" applyNumberFormat="1" applyFill="1" applyBorder="1" applyAlignment="1">
      <alignment vertical="center"/>
    </xf>
    <xf numFmtId="0" fontId="0" fillId="0" borderId="19" xfId="0" applyFont="1" applyFill="1" applyBorder="1" applyAlignment="1">
      <alignment vertical="center"/>
    </xf>
    <xf numFmtId="2" fontId="0" fillId="0" borderId="16" xfId="0" applyNumberFormat="1" applyFont="1" applyFill="1" applyBorder="1" applyAlignment="1">
      <alignment horizontal="center" vertical="center" wrapText="1"/>
    </xf>
    <xf numFmtId="49" fontId="0" fillId="0" borderId="16" xfId="0" applyNumberFormat="1" applyFont="1" applyFill="1" applyBorder="1" applyAlignment="1">
      <alignment vertical="center"/>
    </xf>
    <xf numFmtId="0" fontId="0" fillId="0" borderId="16" xfId="0" applyFont="1" applyFill="1" applyBorder="1" applyAlignment="1">
      <alignment/>
    </xf>
    <xf numFmtId="2" fontId="8" fillId="0" borderId="19" xfId="0" applyNumberFormat="1" applyFont="1" applyFill="1" applyBorder="1" applyAlignment="1">
      <alignment horizontal="center" vertical="center"/>
    </xf>
    <xf numFmtId="2" fontId="8" fillId="0" borderId="19" xfId="0" applyNumberFormat="1" applyFont="1" applyFill="1" applyBorder="1" applyAlignment="1">
      <alignment horizontal="center" vertical="center" wrapText="1"/>
    </xf>
    <xf numFmtId="2" fontId="8" fillId="0" borderId="19" xfId="0" applyNumberFormat="1" applyFont="1" applyFill="1" applyBorder="1" applyAlignment="1" applyProtection="1">
      <alignment horizontal="center" vertical="center" wrapText="1"/>
      <protection/>
    </xf>
    <xf numFmtId="0" fontId="0" fillId="0" borderId="19" xfId="0" applyFill="1" applyBorder="1" applyAlignment="1">
      <alignment horizontal="center"/>
    </xf>
    <xf numFmtId="2" fontId="8" fillId="0" borderId="6" xfId="0" applyNumberFormat="1" applyFont="1" applyFill="1" applyBorder="1" applyAlignment="1">
      <alignment horizontal="center" vertical="center"/>
    </xf>
    <xf numFmtId="2" fontId="8" fillId="0" borderId="6" xfId="0" applyNumberFormat="1" applyFont="1" applyFill="1" applyBorder="1" applyAlignment="1">
      <alignment horizontal="center" vertical="center" wrapText="1"/>
    </xf>
    <xf numFmtId="2" fontId="8" fillId="0" borderId="6" xfId="0" applyNumberFormat="1" applyFont="1" applyFill="1" applyBorder="1" applyAlignment="1" applyProtection="1">
      <alignment horizontal="center" vertical="center" wrapText="1"/>
      <protection/>
    </xf>
    <xf numFmtId="4" fontId="24" fillId="0" borderId="6" xfId="0" applyNumberFormat="1" applyFont="1" applyFill="1" applyBorder="1" applyAlignment="1">
      <alignment horizontal="center" vertical="center"/>
    </xf>
    <xf numFmtId="2" fontId="0" fillId="0" borderId="1" xfId="0" applyNumberFormat="1" applyFont="1" applyFill="1" applyBorder="1" applyAlignment="1">
      <alignment horizontal="left" vertical="center"/>
    </xf>
    <xf numFmtId="2" fontId="0" fillId="0" borderId="1" xfId="0" applyNumberFormat="1" applyFont="1" applyFill="1" applyBorder="1" applyAlignment="1">
      <alignment horizontal="center" vertical="center"/>
    </xf>
    <xf numFmtId="0" fontId="0" fillId="0" borderId="1" xfId="0" applyFill="1" applyBorder="1" applyAlignment="1">
      <alignment horizontal="left" vertical="center" wrapText="1"/>
    </xf>
    <xf numFmtId="2" fontId="0" fillId="0" borderId="1" xfId="0" applyNumberFormat="1" applyFont="1" applyFill="1" applyBorder="1" applyAlignment="1">
      <alignment horizontal="left" vertical="center" wrapText="1"/>
    </xf>
    <xf numFmtId="2" fontId="0" fillId="0" borderId="1"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xf>
    <xf numFmtId="2" fontId="8" fillId="0" borderId="49"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0" fontId="12" fillId="0" borderId="19" xfId="0" applyFont="1" applyFill="1" applyBorder="1" applyAlignment="1">
      <alignment vertical="center"/>
    </xf>
    <xf numFmtId="4" fontId="12" fillId="0" borderId="19" xfId="0" applyNumberFormat="1" applyFont="1" applyFill="1" applyBorder="1" applyAlignment="1">
      <alignment vertical="center"/>
    </xf>
    <xf numFmtId="0" fontId="12" fillId="0" borderId="0" xfId="0" applyFont="1" applyFill="1" applyBorder="1" applyAlignment="1">
      <alignment vertical="center"/>
    </xf>
    <xf numFmtId="4" fontId="12" fillId="0" borderId="0" xfId="0" applyNumberFormat="1" applyFont="1" applyFill="1" applyBorder="1" applyAlignment="1">
      <alignment vertical="center"/>
    </xf>
    <xf numFmtId="0" fontId="12" fillId="0" borderId="16" xfId="0" applyFont="1" applyFill="1" applyBorder="1" applyAlignment="1">
      <alignment vertical="center"/>
    </xf>
    <xf numFmtId="4" fontId="12" fillId="0" borderId="16" xfId="0" applyNumberFormat="1" applyFont="1" applyFill="1" applyBorder="1" applyAlignment="1">
      <alignment vertical="center"/>
    </xf>
    <xf numFmtId="0" fontId="8" fillId="0" borderId="11" xfId="0" applyFont="1" applyFill="1" applyBorder="1" applyAlignment="1">
      <alignment horizontal="center"/>
    </xf>
    <xf numFmtId="0" fontId="0" fillId="0" borderId="46" xfId="0" applyFill="1" applyBorder="1" applyAlignment="1">
      <alignment horizontal="left" wrapText="1"/>
    </xf>
    <xf numFmtId="0" fontId="0" fillId="0" borderId="69" xfId="0" applyFill="1" applyBorder="1" applyAlignment="1">
      <alignment horizontal="left" wrapText="1"/>
    </xf>
    <xf numFmtId="2" fontId="8" fillId="0" borderId="36" xfId="0" applyNumberFormat="1" applyFont="1" applyFill="1" applyBorder="1" applyAlignment="1">
      <alignment horizontal="left" vertical="top" wrapText="1"/>
    </xf>
    <xf numFmtId="0" fontId="0" fillId="0" borderId="37" xfId="0" applyFill="1" applyBorder="1" applyAlignment="1">
      <alignment wrapText="1"/>
    </xf>
    <xf numFmtId="0" fontId="89" fillId="13" borderId="50" xfId="0" applyFont="1" applyFill="1" applyBorder="1" applyAlignment="1">
      <alignment horizontal="left" vertical="center" wrapText="1"/>
    </xf>
    <xf numFmtId="0" fontId="109" fillId="0" borderId="0" xfId="0" applyFont="1" applyAlignment="1">
      <alignment horizontal="left" wrapText="1"/>
    </xf>
    <xf numFmtId="0" fontId="42" fillId="8" borderId="1" xfId="0" applyFont="1" applyFill="1" applyBorder="1" applyAlignment="1" applyProtection="1">
      <alignment horizontal="left"/>
      <protection locked="0"/>
    </xf>
    <xf numFmtId="0" fontId="78" fillId="0" borderId="0" xfId="0" applyFont="1" applyFill="1" applyAlignment="1">
      <alignment horizontal="left" wrapText="1"/>
    </xf>
    <xf numFmtId="0" fontId="78" fillId="0" borderId="0" xfId="0" applyFont="1" applyAlignment="1">
      <alignment horizontal="left" wrapText="1"/>
    </xf>
    <xf numFmtId="0" fontId="107" fillId="0" borderId="0" xfId="0" applyFont="1" applyBorder="1" applyAlignment="1">
      <alignment horizontal="left" wrapText="1"/>
    </xf>
    <xf numFmtId="0" fontId="42" fillId="0" borderId="0" xfId="0" applyFont="1" applyAlignment="1">
      <alignment horizontal="left" wrapText="1" indent="1"/>
    </xf>
    <xf numFmtId="0" fontId="42" fillId="0" borderId="0" xfId="0" applyFont="1" applyFill="1" applyBorder="1" applyAlignment="1">
      <alignment horizontal="left" wrapText="1"/>
    </xf>
    <xf numFmtId="0" fontId="63" fillId="0" borderId="0" xfId="0" applyFont="1" applyAlignment="1">
      <alignment horizontal="left" wrapText="1"/>
    </xf>
    <xf numFmtId="0" fontId="42" fillId="0" borderId="0" xfId="0" applyFont="1" applyAlignment="1">
      <alignment horizontal="center" wrapText="1"/>
    </xf>
    <xf numFmtId="0" fontId="42" fillId="0" borderId="6" xfId="0" applyFont="1" applyBorder="1" applyAlignment="1">
      <alignment horizontal="center" wrapText="1"/>
    </xf>
    <xf numFmtId="0" fontId="42" fillId="0" borderId="19" xfId="0" applyFont="1" applyBorder="1" applyAlignment="1">
      <alignment horizontal="center" wrapText="1"/>
    </xf>
    <xf numFmtId="0" fontId="89" fillId="13" borderId="50" xfId="0" applyFont="1" applyFill="1" applyBorder="1" applyAlignment="1">
      <alignment horizontal="left" wrapText="1" indent="1"/>
    </xf>
    <xf numFmtId="0" fontId="42" fillId="0" borderId="0" xfId="0" applyFont="1" applyAlignment="1">
      <alignment horizontal="center"/>
    </xf>
    <xf numFmtId="0" fontId="63" fillId="0" borderId="0" xfId="0" applyFont="1" applyAlignment="1">
      <alignment horizontal="center"/>
    </xf>
    <xf numFmtId="0" fontId="42" fillId="0" borderId="0" xfId="0" applyFont="1" applyAlignment="1">
      <alignment horizontal="left" wrapText="1"/>
    </xf>
    <xf numFmtId="0" fontId="63" fillId="0" borderId="0" xfId="0" applyFont="1" applyFill="1" applyAlignment="1">
      <alignment horizontal="left" wrapText="1"/>
    </xf>
    <xf numFmtId="0" fontId="89" fillId="13" borderId="63" xfId="0" applyFont="1" applyFill="1" applyBorder="1" applyAlignment="1">
      <alignment horizontal="left" wrapText="1" indent="1"/>
    </xf>
    <xf numFmtId="0" fontId="113" fillId="13" borderId="68" xfId="0" applyFont="1" applyFill="1" applyBorder="1" applyAlignment="1">
      <alignment horizontal="center"/>
    </xf>
    <xf numFmtId="0" fontId="119" fillId="13" borderId="68" xfId="0" applyFont="1" applyFill="1" applyBorder="1" applyAlignment="1">
      <alignment horizontal="center"/>
    </xf>
    <xf numFmtId="0" fontId="113" fillId="13" borderId="70" xfId="0" applyFont="1" applyFill="1" applyBorder="1" applyAlignment="1">
      <alignment horizontal="center"/>
    </xf>
    <xf numFmtId="0" fontId="113" fillId="13" borderId="71" xfId="0" applyFont="1" applyFill="1" applyBorder="1" applyAlignment="1">
      <alignment horizontal="center"/>
    </xf>
    <xf numFmtId="0" fontId="113" fillId="13" borderId="72" xfId="0" applyFont="1" applyFill="1" applyBorder="1" applyAlignment="1">
      <alignment horizontal="center"/>
    </xf>
    <xf numFmtId="0" fontId="0" fillId="8" borderId="0" xfId="0" applyFill="1" applyAlignment="1">
      <alignment wrapText="1"/>
    </xf>
    <xf numFmtId="0" fontId="101" fillId="13" borderId="63" xfId="0" applyFont="1" applyFill="1" applyBorder="1" applyAlignment="1">
      <alignment horizontal="left" wrapText="1" indent="1"/>
    </xf>
    <xf numFmtId="0" fontId="8" fillId="0" borderId="10" xfId="0" applyFont="1" applyFill="1" applyBorder="1" applyAlignment="1">
      <alignment horizontal="center"/>
    </xf>
    <xf numFmtId="0" fontId="0" fillId="0" borderId="38" xfId="0" applyFill="1" applyBorder="1" applyAlignment="1">
      <alignment wrapText="1"/>
    </xf>
    <xf numFmtId="0" fontId="27" fillId="13" borderId="49" xfId="0" applyFont="1" applyFill="1" applyBorder="1" applyAlignment="1">
      <alignment horizontal="left"/>
    </xf>
    <xf numFmtId="0" fontId="27" fillId="13" borderId="40" xfId="0" applyFont="1" applyFill="1" applyBorder="1" applyAlignment="1">
      <alignment horizontal="left"/>
    </xf>
    <xf numFmtId="0" fontId="27" fillId="13" borderId="73" xfId="0" applyFont="1" applyFill="1" applyBorder="1" applyAlignment="1">
      <alignment horizontal="left"/>
    </xf>
    <xf numFmtId="0" fontId="0" fillId="14" borderId="49" xfId="0" applyFill="1" applyBorder="1" applyAlignment="1">
      <alignment horizontal="left" wrapText="1"/>
    </xf>
    <xf numFmtId="0" fontId="0" fillId="14" borderId="40" xfId="0" applyFill="1" applyBorder="1" applyAlignment="1">
      <alignment horizontal="left" wrapText="1"/>
    </xf>
    <xf numFmtId="0" fontId="0" fillId="14" borderId="73" xfId="0" applyFill="1" applyBorder="1" applyAlignment="1">
      <alignment horizontal="left" wrapText="1"/>
    </xf>
    <xf numFmtId="0" fontId="27" fillId="13" borderId="1" xfId="0" applyFont="1" applyFill="1" applyBorder="1" applyAlignment="1">
      <alignment horizontal="center" wrapText="1"/>
    </xf>
    <xf numFmtId="0" fontId="30" fillId="8" borderId="62" xfId="0" applyFont="1" applyFill="1" applyBorder="1" applyAlignment="1">
      <alignment horizontal="center"/>
    </xf>
    <xf numFmtId="0" fontId="97" fillId="13" borderId="63" xfId="0" applyFont="1" applyFill="1" applyBorder="1" applyAlignment="1">
      <alignment horizontal="left" wrapText="1" indent="1"/>
    </xf>
    <xf numFmtId="0" fontId="38" fillId="2" borderId="0" xfId="0" applyFont="1" applyFill="1" applyBorder="1" applyAlignment="1" applyProtection="1">
      <alignment horizontal="left" vertical="top" wrapText="1"/>
      <protection/>
    </xf>
    <xf numFmtId="0" fontId="38" fillId="2" borderId="19" xfId="0" applyFont="1" applyFill="1" applyBorder="1" applyAlignment="1" applyProtection="1">
      <alignment horizontal="left" vertical="center" wrapText="1"/>
      <protection/>
    </xf>
    <xf numFmtId="0" fontId="38" fillId="2" borderId="0" xfId="0" applyFont="1" applyFill="1" applyBorder="1" applyAlignment="1" applyProtection="1">
      <alignment horizontal="left" vertical="center" wrapText="1"/>
      <protection/>
    </xf>
    <xf numFmtId="0" fontId="37" fillId="2" borderId="0" xfId="0" applyFont="1" applyFill="1" applyBorder="1" applyAlignment="1" applyProtection="1">
      <alignment horizontal="justify" vertical="justify"/>
      <protection/>
    </xf>
    <xf numFmtId="0" fontId="39" fillId="2" borderId="0" xfId="0" applyFont="1" applyFill="1" applyBorder="1" applyAlignment="1">
      <alignment/>
    </xf>
    <xf numFmtId="0" fontId="35" fillId="9" borderId="49" xfId="0" applyFont="1" applyFill="1" applyBorder="1" applyAlignment="1" applyProtection="1">
      <alignment/>
      <protection/>
    </xf>
    <xf numFmtId="0" fontId="0" fillId="0" borderId="40" xfId="0" applyBorder="1" applyAlignment="1">
      <alignment/>
    </xf>
    <xf numFmtId="0" fontId="0" fillId="0" borderId="73" xfId="0" applyBorder="1" applyAlignment="1">
      <alignment/>
    </xf>
    <xf numFmtId="0" fontId="38" fillId="2" borderId="19" xfId="0" applyFont="1" applyFill="1" applyBorder="1" applyAlignment="1" applyProtection="1">
      <alignment wrapText="1"/>
      <protection/>
    </xf>
    <xf numFmtId="0" fontId="0" fillId="0" borderId="19" xfId="0" applyBorder="1" applyAlignment="1">
      <alignment wrapText="1"/>
    </xf>
  </cellXfs>
  <cellStyles count="77">
    <cellStyle name="Normal" xfId="0"/>
    <cellStyle name="2x indented GHG Textfiels" xfId="15"/>
    <cellStyle name="5x indented GHG Textfiels" xfId="16"/>
    <cellStyle name="Bold GHG Numbers (0.00)" xfId="17"/>
    <cellStyle name="Column heading" xfId="18"/>
    <cellStyle name="Comma" xfId="19"/>
    <cellStyle name="Comma [0]" xfId="20"/>
    <cellStyle name="Comma0" xfId="21"/>
    <cellStyle name="Corner heading" xfId="22"/>
    <cellStyle name="Currency" xfId="23"/>
    <cellStyle name="Currency [0]" xfId="24"/>
    <cellStyle name="Currency0" xfId="25"/>
    <cellStyle name="Data" xfId="26"/>
    <cellStyle name="Data no deci" xfId="27"/>
    <cellStyle name="Data Superscript" xfId="28"/>
    <cellStyle name="Data_1-1A-Regular" xfId="29"/>
    <cellStyle name="Data-one deci" xfId="30"/>
    <cellStyle name="Date" xfId="31"/>
    <cellStyle name="Fixed" xfId="32"/>
    <cellStyle name="Followed Hyperlink" xfId="33"/>
    <cellStyle name="Grey" xfId="34"/>
    <cellStyle name="Heading 1" xfId="35"/>
    <cellStyle name="Heading 2" xfId="36"/>
    <cellStyle name="Headline" xfId="37"/>
    <cellStyle name="Hed Side" xfId="38"/>
    <cellStyle name="Hed Side bold" xfId="39"/>
    <cellStyle name="Hed Side Indent" xfId="40"/>
    <cellStyle name="Hed Side Regular" xfId="41"/>
    <cellStyle name="Hed Side_1-1A-Regular" xfId="42"/>
    <cellStyle name="Hed Top" xfId="43"/>
    <cellStyle name="Hed Top - SECTION" xfId="44"/>
    <cellStyle name="Hed Top_3-new4" xfId="45"/>
    <cellStyle name="Hyperlink" xfId="46"/>
    <cellStyle name="Input [yellow]" xfId="47"/>
    <cellStyle name="Milliers [0]_Annex_comb_guideline_version4-2" xfId="48"/>
    <cellStyle name="Milliers_Annex_comb_guideline_version4-2" xfId="49"/>
    <cellStyle name="Monétaire [0]_Annex comb guideline 4-7" xfId="50"/>
    <cellStyle name="Monétaire_Annex_comb_guideline_version4-2" xfId="51"/>
    <cellStyle name="Normal - Style1" xfId="52"/>
    <cellStyle name="Normal GHG Numbers (0.00)" xfId="53"/>
    <cellStyle name="Normal GHG Textfiels Bold" xfId="54"/>
    <cellStyle name="Normal GHG whole table" xfId="55"/>
    <cellStyle name="Normal GHG-Shade" xfId="56"/>
    <cellStyle name="Pattern" xfId="57"/>
    <cellStyle name="Percent" xfId="58"/>
    <cellStyle name="Percent [2]" xfId="59"/>
    <cellStyle name="Reference" xfId="60"/>
    <cellStyle name="Row heading" xfId="61"/>
    <cellStyle name="Source Hed" xfId="62"/>
    <cellStyle name="Source Letter" xfId="63"/>
    <cellStyle name="Source Superscript" xfId="64"/>
    <cellStyle name="Source Text" xfId="65"/>
    <cellStyle name="Standard_CRF Inventar" xfId="66"/>
    <cellStyle name="State" xfId="67"/>
    <cellStyle name="Superscript" xfId="68"/>
    <cellStyle name="Superscript- regular" xfId="69"/>
    <cellStyle name="Superscript_1-1A-Regular" xfId="70"/>
    <cellStyle name="Table Data" xfId="71"/>
    <cellStyle name="Table Head Top" xfId="72"/>
    <cellStyle name="Table Hed Side" xfId="73"/>
    <cellStyle name="Table Title" xfId="74"/>
    <cellStyle name="Title Text" xfId="75"/>
    <cellStyle name="Title Text 1" xfId="76"/>
    <cellStyle name="Title Text 2" xfId="77"/>
    <cellStyle name="Title-1" xfId="78"/>
    <cellStyle name="Title-2" xfId="79"/>
    <cellStyle name="Title-3" xfId="80"/>
    <cellStyle name="Total" xfId="81"/>
    <cellStyle name="Tusental (0)_pldt" xfId="82"/>
    <cellStyle name="Tusental_pldt" xfId="83"/>
    <cellStyle name="Valuta (0)_pldt" xfId="84"/>
    <cellStyle name="Valuta_pldt" xfId="85"/>
    <cellStyle name="Wrap" xfId="86"/>
    <cellStyle name="Wrap Bold" xfId="87"/>
    <cellStyle name="Wrap Title" xfId="88"/>
    <cellStyle name="Wrap_NTS99-~11" xfId="89"/>
    <cellStyle name="標準_CRF1999" xfId="9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Scope 1 Category Emissions by Gas 
(MTCO</a:t>
            </a:r>
            <a:r>
              <a:rPr lang="en-US" cap="none" sz="1100" b="1" i="0" u="none" baseline="-25000"/>
              <a:t>2</a:t>
            </a:r>
            <a:r>
              <a:rPr lang="en-US" cap="none" sz="1100" b="1" i="0" u="none" baseline="0"/>
              <a:t> Eq.)</a:t>
            </a:r>
          </a:p>
        </c:rich>
      </c:tx>
      <c:layout/>
      <c:spPr>
        <a:noFill/>
        <a:ln>
          <a:noFill/>
        </a:ln>
      </c:spPr>
    </c:title>
    <c:plotArea>
      <c:layout>
        <c:manualLayout>
          <c:xMode val="edge"/>
          <c:yMode val="edge"/>
          <c:x val="0.0705"/>
          <c:y val="0.142"/>
          <c:w val="0.8215"/>
          <c:h val="0.78125"/>
        </c:manualLayout>
      </c:layout>
      <c:barChart>
        <c:barDir val="col"/>
        <c:grouping val="clustered"/>
        <c:varyColors val="0"/>
        <c:ser>
          <c:idx val="0"/>
          <c:order val="0"/>
          <c:tx>
            <c:strRef>
              <c:f>Summary!$C$5</c:f>
              <c:strCache>
                <c:ptCount val="1"/>
                <c:pt idx="0">
                  <c:v>CO2</c:v>
                </c:pt>
              </c:strCache>
            </c:strRef>
          </c:tx>
          <c:spPr>
            <a:solidFill>
              <a:srgbClr val="333399"/>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(Summary!$B$11,Summary!$B$16)</c:f>
              <c:strCache/>
            </c:strRef>
          </c:cat>
          <c:val>
            <c:numRef>
              <c:f>(Summary!$C$11,Summary!$C$16)</c:f>
              <c:numCache>
                <c:ptCount val="2"/>
                <c:pt idx="0">
                  <c:v>0</c:v>
                </c:pt>
                <c:pt idx="1">
                  <c:v>0</c:v>
                </c:pt>
              </c:numCache>
            </c:numRef>
          </c:val>
        </c:ser>
        <c:ser>
          <c:idx val="1"/>
          <c:order val="1"/>
          <c:tx>
            <c:strRef>
              <c:f>Summary!$D$5</c:f>
              <c:strCache>
                <c:ptCount val="1"/>
                <c:pt idx="0">
                  <c:v>CH4</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(Summary!$B$11,Summary!$B$16)</c:f>
              <c:strCache/>
            </c:strRef>
          </c:cat>
          <c:val>
            <c:numRef>
              <c:f>(Summary!$D$11,Summary!$D$16)</c:f>
              <c:numCache>
                <c:ptCount val="2"/>
                <c:pt idx="0">
                  <c:v>0</c:v>
                </c:pt>
                <c:pt idx="1">
                  <c:v>0</c:v>
                </c:pt>
              </c:numCache>
            </c:numRef>
          </c:val>
        </c:ser>
        <c:ser>
          <c:idx val="2"/>
          <c:order val="2"/>
          <c:tx>
            <c:strRef>
              <c:f>Summary!$E$5</c:f>
              <c:strCache>
                <c:ptCount val="1"/>
                <c:pt idx="0">
                  <c:v>N2O</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(Summary!$B$11,Summary!$B$16)</c:f>
              <c:strCache/>
            </c:strRef>
          </c:cat>
          <c:val>
            <c:numRef>
              <c:f>(Summary!$E$11,Summary!$E$16)</c:f>
              <c:numCache>
                <c:ptCount val="2"/>
                <c:pt idx="0">
                  <c:v>0</c:v>
                </c:pt>
                <c:pt idx="1">
                  <c:v>0</c:v>
                </c:pt>
              </c:numCache>
            </c:numRef>
          </c:val>
        </c:ser>
        <c:axId val="44643449"/>
        <c:axId val="66246722"/>
      </c:barChart>
      <c:catAx>
        <c:axId val="44643449"/>
        <c:scaling>
          <c:orientation val="minMax"/>
        </c:scaling>
        <c:axPos val="b"/>
        <c:title>
          <c:tx>
            <c:rich>
              <a:bodyPr vert="horz" rot="0" anchor="ctr"/>
              <a:lstStyle/>
              <a:p>
                <a:pPr algn="ctr">
                  <a:defRPr/>
                </a:pPr>
                <a:r>
                  <a:rPr lang="en-US" cap="none" sz="1000" b="1" i="0" u="none" baseline="0"/>
                  <a:t>Scope 1 Category</a:t>
                </a:r>
              </a:p>
            </c:rich>
          </c:tx>
          <c:layout/>
          <c:overlay val="0"/>
          <c:spPr>
            <a:noFill/>
            <a:ln>
              <a:noFill/>
            </a:ln>
          </c:spPr>
        </c:title>
        <c:delete val="0"/>
        <c:numFmt formatCode="General" sourceLinked="1"/>
        <c:majorTickMark val="out"/>
        <c:minorTickMark val="none"/>
        <c:tickLblPos val="nextTo"/>
        <c:crossAx val="66246722"/>
        <c:crosses val="autoZero"/>
        <c:auto val="1"/>
        <c:lblOffset val="100"/>
        <c:noMultiLvlLbl val="0"/>
      </c:catAx>
      <c:valAx>
        <c:axId val="66246722"/>
        <c:scaling>
          <c:orientation val="minMax"/>
        </c:scaling>
        <c:axPos val="l"/>
        <c:title>
          <c:tx>
            <c:rich>
              <a:bodyPr vert="horz" rot="-5400000" anchor="ctr"/>
              <a:lstStyle/>
              <a:p>
                <a:pPr algn="ctr">
                  <a:defRPr/>
                </a:pPr>
                <a:r>
                  <a:rPr lang="en-US" cap="none" sz="1000" b="1" i="0" u="none" baseline="0"/>
                  <a:t>Emissions (MTCO</a:t>
                </a:r>
                <a:r>
                  <a:rPr lang="en-US" cap="none" sz="1000" b="1" i="0" u="none" baseline="-25000"/>
                  <a:t>2</a:t>
                </a:r>
                <a:r>
                  <a:rPr lang="en-US" cap="none" sz="1000" b="1" i="0" u="none" baseline="0"/>
                  <a:t>Eq.)</a:t>
                </a:r>
              </a:p>
            </c:rich>
          </c:tx>
          <c:layout/>
          <c:overlay val="0"/>
          <c:spPr>
            <a:noFill/>
            <a:ln>
              <a:noFill/>
            </a:ln>
          </c:spPr>
        </c:title>
        <c:delete val="0"/>
        <c:numFmt formatCode="General" sourceLinked="1"/>
        <c:majorTickMark val="out"/>
        <c:minorTickMark val="none"/>
        <c:tickLblPos val="nextTo"/>
        <c:crossAx val="44643449"/>
        <c:crossesAt val="1"/>
        <c:crossBetween val="between"/>
        <c:dispUnits/>
      </c:valAx>
      <c:spPr>
        <a:solidFill>
          <a:srgbClr val="FFFFFF"/>
        </a:solidFill>
        <a:ln w="12700">
          <a:solidFill>
            <a:srgbClr val="808080"/>
          </a:solidFill>
        </a:ln>
      </c:spPr>
    </c:plotArea>
    <c:legend>
      <c:legendPos val="r"/>
      <c:layout>
        <c:manualLayout>
          <c:xMode val="edge"/>
          <c:yMode val="edge"/>
          <c:x val="0.903"/>
          <c:y val="0.26375"/>
          <c:w val="0.0915"/>
          <c:h val="0.48825"/>
        </c:manualLayout>
      </c:layout>
      <c:overlay val="0"/>
      <c:spPr>
        <a:ln w="3175">
          <a:no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Scope 1: Percent of Total Stationary Combustion
Emissions by Fuel Type</a:t>
            </a:r>
          </a:p>
        </c:rich>
      </c:tx>
      <c:layout/>
      <c:spPr>
        <a:noFill/>
        <a:ln>
          <a:noFill/>
        </a:ln>
      </c:spPr>
    </c:title>
    <c:plotArea>
      <c:layout>
        <c:manualLayout>
          <c:xMode val="edge"/>
          <c:yMode val="edge"/>
          <c:x val="0.202"/>
          <c:y val="0.2165"/>
          <c:w val="0.3795"/>
          <c:h val="0.74375"/>
        </c:manualLayout>
      </c:layout>
      <c:pieChart>
        <c:varyColors val="1"/>
        <c:ser>
          <c:idx val="0"/>
          <c:order val="0"/>
          <c:tx>
            <c:strRef>
              <c:f>Summary!$G$5</c:f>
              <c:strCache>
                <c:ptCount val="1"/>
                <c:pt idx="0">
                  <c:v>Total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0000FF"/>
              </a:solidFill>
            </c:spPr>
          </c:dPt>
          <c:dPt>
            <c:idx val="2"/>
            <c:spPr>
              <a:solidFill>
                <a:srgbClr val="FFFFCC"/>
              </a:solidFill>
            </c:spPr>
          </c:dPt>
          <c:dPt>
            <c:idx val="3"/>
            <c:spPr>
              <a:solidFill>
                <a:srgbClr val="00FF00"/>
              </a:solidFill>
            </c:spPr>
          </c:dPt>
          <c:dPt>
            <c:idx val="4"/>
            <c:spPr>
              <a:solidFill>
                <a:srgbClr val="FFCC99"/>
              </a:solidFill>
            </c:spPr>
          </c:dPt>
          <c:dLbls>
            <c:dLbl>
              <c:idx val="0"/>
              <c:txPr>
                <a:bodyPr vert="horz" rot="0" anchor="ctr"/>
                <a:lstStyle/>
                <a:p>
                  <a:pPr algn="ctr">
                    <a:defRPr lang="en-US" cap="none" sz="925"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25"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25"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25"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25"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25" b="0" i="0" u="none" baseline="0"/>
                </a:pPr>
              </a:p>
            </c:txPr>
            <c:showLegendKey val="0"/>
            <c:showVal val="0"/>
            <c:showBubbleSize val="0"/>
            <c:showCatName val="0"/>
            <c:showSerName val="0"/>
            <c:showLeaderLines val="1"/>
            <c:showPercent val="1"/>
          </c:dLbls>
          <c:cat>
            <c:strRef>
              <c:f>Summary!$B$6:$B$10</c:f>
              <c:strCache/>
            </c:strRef>
          </c:cat>
          <c:val>
            <c:numRef>
              <c:f>Summary!$G$6:$G$10</c:f>
              <c:numCache>
                <c:ptCount val="5"/>
                <c:pt idx="0">
                  <c:v>0</c:v>
                </c:pt>
                <c:pt idx="1">
                  <c:v>0</c:v>
                </c:pt>
                <c:pt idx="2">
                  <c:v>0</c:v>
                </c:pt>
                <c:pt idx="3">
                  <c:v>0</c:v>
                </c:pt>
                <c:pt idx="4">
                  <c:v>0</c:v>
                </c:pt>
              </c:numCache>
            </c:numRef>
          </c:val>
        </c:ser>
        <c:ser>
          <c:idx val="1"/>
          <c:order val="1"/>
          <c:tx>
            <c:strRef>
              <c:f>Summary!$D$5</c:f>
              <c:strCache>
                <c:ptCount val="1"/>
                <c:pt idx="0">
                  <c:v>CH4</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Summary!$B$6:$B$10</c:f>
              <c:strCache/>
            </c:strRef>
          </c:cat>
          <c:val>
            <c:numRef>
              <c:f>Summary!$D$6:$D$10</c:f>
              <c:numCache>
                <c:ptCount val="5"/>
                <c:pt idx="0">
                  <c:v>0</c:v>
                </c:pt>
                <c:pt idx="1">
                  <c:v>0</c:v>
                </c:pt>
                <c:pt idx="2">
                  <c:v>0</c:v>
                </c:pt>
                <c:pt idx="3">
                  <c:v>0</c:v>
                </c:pt>
                <c:pt idx="4">
                  <c:v>0</c:v>
                </c:pt>
              </c:numCache>
            </c:numRef>
          </c:val>
        </c:ser>
        <c:ser>
          <c:idx val="2"/>
          <c:order val="2"/>
          <c:tx>
            <c:strRef>
              <c:f>Summary!$E$5</c:f>
              <c:strCache>
                <c:ptCount val="1"/>
                <c:pt idx="0">
                  <c:v>N2O</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Summary!$B$6:$B$10</c:f>
              <c:strCache/>
            </c:strRef>
          </c:cat>
          <c:val>
            <c:numRef>
              <c:f>Summary!$E$6:$E$10</c:f>
              <c:numCache>
                <c:ptCount val="5"/>
                <c:pt idx="0">
                  <c:v>0</c:v>
                </c:pt>
                <c:pt idx="1">
                  <c:v>0</c:v>
                </c:pt>
                <c:pt idx="2">
                  <c:v>0</c:v>
                </c:pt>
                <c:pt idx="3">
                  <c:v>0</c:v>
                </c:pt>
                <c:pt idx="4">
                  <c:v>0</c:v>
                </c:pt>
              </c:numCache>
            </c:numRef>
          </c:val>
        </c:ser>
      </c:pieChart>
      <c:spPr>
        <a:noFill/>
        <a:ln>
          <a:noFill/>
        </a:ln>
      </c:spPr>
    </c:plotArea>
    <c:legend>
      <c:legendPos val="r"/>
      <c:layout>
        <c:manualLayout>
          <c:xMode val="edge"/>
          <c:yMode val="edge"/>
          <c:x val="0.732"/>
          <c:y val="0.223"/>
          <c:w val="0.25975"/>
          <c:h val="0.67325"/>
        </c:manualLayout>
      </c:layout>
      <c:overlay val="0"/>
      <c:spPr>
        <a:ln w="3175">
          <a:noFill/>
        </a:ln>
      </c:spPr>
      <c:txPr>
        <a:bodyPr vert="horz" rot="0"/>
        <a:lstStyle/>
        <a:p>
          <a:pPr>
            <a:defRPr lang="en-US" cap="none" sz="1075" b="0" i="0" u="none" baseline="0"/>
          </a:pPr>
        </a:p>
      </c:tx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Scope 2 Category Emissions by Gas 
(MTCO</a:t>
            </a:r>
            <a:r>
              <a:rPr lang="en-US" cap="none" sz="1100" b="1" i="0" u="none" baseline="-25000"/>
              <a:t>2</a:t>
            </a:r>
            <a:r>
              <a:rPr lang="en-US" cap="none" sz="1100" b="1" i="0" u="none" baseline="0"/>
              <a:t> Eq.)</a:t>
            </a:r>
          </a:p>
        </c:rich>
      </c:tx>
      <c:layout/>
      <c:spPr>
        <a:noFill/>
        <a:ln>
          <a:noFill/>
        </a:ln>
      </c:spPr>
    </c:title>
    <c:plotArea>
      <c:layout>
        <c:manualLayout>
          <c:xMode val="edge"/>
          <c:yMode val="edge"/>
          <c:x val="0.07025"/>
          <c:y val="0.13325"/>
          <c:w val="0.8215"/>
          <c:h val="0.7945"/>
        </c:manualLayout>
      </c:layout>
      <c:barChart>
        <c:barDir val="col"/>
        <c:grouping val="clustered"/>
        <c:varyColors val="0"/>
        <c:ser>
          <c:idx val="0"/>
          <c:order val="0"/>
          <c:tx>
            <c:strRef>
              <c:f>Summary!$C$19</c:f>
              <c:strCache>
                <c:ptCount val="1"/>
                <c:pt idx="0">
                  <c:v>CO2</c:v>
                </c:pt>
              </c:strCache>
            </c:strRef>
          </c:tx>
          <c:spPr>
            <a:solidFill>
              <a:srgbClr val="333399"/>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Summary!$B$20</c:f>
              <c:strCache/>
            </c:strRef>
          </c:cat>
          <c:val>
            <c:numRef>
              <c:f>Summary!$C$20</c:f>
              <c:numCache>
                <c:ptCount val="1"/>
                <c:pt idx="0">
                  <c:v>0</c:v>
                </c:pt>
              </c:numCache>
            </c:numRef>
          </c:val>
        </c:ser>
        <c:ser>
          <c:idx val="1"/>
          <c:order val="1"/>
          <c:tx>
            <c:strRef>
              <c:f>Summary!$D$19</c:f>
              <c:strCache>
                <c:ptCount val="1"/>
                <c:pt idx="0">
                  <c:v>CH4</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Summary!$B$20</c:f>
              <c:strCache/>
            </c:strRef>
          </c:cat>
          <c:val>
            <c:numRef>
              <c:f>Summary!$D$20</c:f>
              <c:numCache>
                <c:ptCount val="1"/>
                <c:pt idx="0">
                  <c:v>0</c:v>
                </c:pt>
              </c:numCache>
            </c:numRef>
          </c:val>
        </c:ser>
        <c:ser>
          <c:idx val="2"/>
          <c:order val="2"/>
          <c:tx>
            <c:strRef>
              <c:f>Summary!$E$19</c:f>
              <c:strCache>
                <c:ptCount val="1"/>
                <c:pt idx="0">
                  <c:v>N2O</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Summary!$B$20</c:f>
              <c:strCache/>
            </c:strRef>
          </c:cat>
          <c:val>
            <c:numRef>
              <c:f>Summary!$E$20</c:f>
              <c:numCache>
                <c:ptCount val="1"/>
                <c:pt idx="0">
                  <c:v>0</c:v>
                </c:pt>
              </c:numCache>
            </c:numRef>
          </c:val>
        </c:ser>
        <c:axId val="59349587"/>
        <c:axId val="64384236"/>
      </c:barChart>
      <c:catAx>
        <c:axId val="59349587"/>
        <c:scaling>
          <c:orientation val="minMax"/>
        </c:scaling>
        <c:axPos val="b"/>
        <c:title>
          <c:tx>
            <c:rich>
              <a:bodyPr vert="horz" rot="0" anchor="ctr"/>
              <a:lstStyle/>
              <a:p>
                <a:pPr algn="ctr">
                  <a:defRPr/>
                </a:pPr>
                <a:r>
                  <a:rPr lang="en-US" cap="none" sz="975" b="1" i="0" u="none" baseline="0"/>
                  <a:t>Scope 2 Category</a:t>
                </a:r>
              </a:p>
            </c:rich>
          </c:tx>
          <c:layout/>
          <c:overlay val="0"/>
          <c:spPr>
            <a:noFill/>
            <a:ln>
              <a:noFill/>
            </a:ln>
          </c:spPr>
        </c:title>
        <c:delete val="0"/>
        <c:numFmt formatCode="General" sourceLinked="1"/>
        <c:majorTickMark val="out"/>
        <c:minorTickMark val="none"/>
        <c:tickLblPos val="nextTo"/>
        <c:crossAx val="64384236"/>
        <c:crosses val="autoZero"/>
        <c:auto val="1"/>
        <c:lblOffset val="100"/>
        <c:noMultiLvlLbl val="0"/>
      </c:catAx>
      <c:valAx>
        <c:axId val="64384236"/>
        <c:scaling>
          <c:orientation val="minMax"/>
        </c:scaling>
        <c:axPos val="l"/>
        <c:title>
          <c:tx>
            <c:rich>
              <a:bodyPr vert="horz" rot="-5400000" anchor="ctr"/>
              <a:lstStyle/>
              <a:p>
                <a:pPr algn="ctr">
                  <a:defRPr/>
                </a:pPr>
                <a:r>
                  <a:rPr lang="en-US" cap="none" sz="975" b="1" i="0" u="none" baseline="0"/>
                  <a:t>Emissions (MTCO</a:t>
                </a:r>
                <a:r>
                  <a:rPr lang="en-US" cap="none" sz="975" b="1" i="0" u="none" baseline="-25000"/>
                  <a:t>2</a:t>
                </a:r>
                <a:r>
                  <a:rPr lang="en-US" cap="none" sz="975" b="1" i="0" u="none" baseline="0"/>
                  <a:t>Eq.)</a:t>
                </a:r>
              </a:p>
            </c:rich>
          </c:tx>
          <c:layout/>
          <c:overlay val="0"/>
          <c:spPr>
            <a:noFill/>
            <a:ln>
              <a:noFill/>
            </a:ln>
          </c:spPr>
        </c:title>
        <c:delete val="0"/>
        <c:numFmt formatCode="General" sourceLinked="1"/>
        <c:majorTickMark val="out"/>
        <c:minorTickMark val="none"/>
        <c:tickLblPos val="nextTo"/>
        <c:crossAx val="59349587"/>
        <c:crossesAt val="1"/>
        <c:crossBetween val="between"/>
        <c:dispUnits/>
      </c:valAx>
      <c:spPr>
        <a:solidFill>
          <a:srgbClr val="FFFFFF"/>
        </a:solidFill>
        <a:ln w="12700">
          <a:solidFill>
            <a:srgbClr val="808080"/>
          </a:solidFill>
        </a:ln>
      </c:spPr>
    </c:plotArea>
    <c:legend>
      <c:legendPos val="r"/>
      <c:layout>
        <c:manualLayout>
          <c:xMode val="edge"/>
          <c:yMode val="edge"/>
          <c:x val="0.8975"/>
          <c:y val="0.27775"/>
          <c:w val="0.0915"/>
          <c:h val="0.4925"/>
        </c:manualLayout>
      </c:layout>
      <c:overlay val="0"/>
      <c:spPr>
        <a:ln w="3175">
          <a:no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t>Scope 3 Category Emissions by Gas  
(MTCO</a:t>
            </a:r>
            <a:r>
              <a:rPr lang="en-US" cap="none" sz="1075" b="1" i="0" u="none" baseline="-25000"/>
              <a:t>2</a:t>
            </a:r>
            <a:r>
              <a:rPr lang="en-US" cap="none" sz="1075" b="1" i="0" u="none" baseline="0"/>
              <a:t> Eq.)</a:t>
            </a:r>
          </a:p>
        </c:rich>
      </c:tx>
      <c:layout/>
      <c:spPr>
        <a:noFill/>
        <a:ln>
          <a:noFill/>
        </a:ln>
      </c:spPr>
    </c:title>
    <c:plotArea>
      <c:layout>
        <c:manualLayout>
          <c:xMode val="edge"/>
          <c:yMode val="edge"/>
          <c:x val="0.065"/>
          <c:y val="0.1575"/>
          <c:w val="0.793"/>
          <c:h val="0.77425"/>
        </c:manualLayout>
      </c:layout>
      <c:barChart>
        <c:barDir val="col"/>
        <c:grouping val="clustered"/>
        <c:varyColors val="0"/>
        <c:ser>
          <c:idx val="0"/>
          <c:order val="0"/>
          <c:tx>
            <c:strRef>
              <c:f>Summary!$C$19</c:f>
              <c:strCache>
                <c:ptCount val="1"/>
                <c:pt idx="0">
                  <c:v>CO2</c:v>
                </c:pt>
              </c:strCache>
            </c:strRef>
          </c:tx>
          <c:spPr>
            <a:solidFill>
              <a:srgbClr val="333399"/>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Summary!$B$24</c:f>
              <c:strCache/>
            </c:strRef>
          </c:cat>
          <c:val>
            <c:numRef>
              <c:f>Summary!$C$24</c:f>
              <c:numCache>
                <c:ptCount val="1"/>
                <c:pt idx="0">
                  <c:v>0</c:v>
                </c:pt>
              </c:numCache>
            </c:numRef>
          </c:val>
        </c:ser>
        <c:ser>
          <c:idx val="1"/>
          <c:order val="1"/>
          <c:tx>
            <c:strRef>
              <c:f>Summary!$F$23</c:f>
              <c:strCache>
                <c:ptCount val="1"/>
                <c:pt idx="0">
                  <c:v>HCF/PFC</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Summary!$B$24</c:f>
              <c:strCache/>
            </c:strRef>
          </c:cat>
          <c:val>
            <c:numRef>
              <c:f>Summary!$F$24</c:f>
              <c:numCache>
                <c:ptCount val="1"/>
                <c:pt idx="0">
                  <c:v>0</c:v>
                </c:pt>
              </c:numCache>
            </c:numRef>
          </c:val>
        </c:ser>
        <c:axId val="42587213"/>
        <c:axId val="47740598"/>
      </c:barChart>
      <c:catAx>
        <c:axId val="42587213"/>
        <c:scaling>
          <c:orientation val="minMax"/>
        </c:scaling>
        <c:axPos val="b"/>
        <c:title>
          <c:tx>
            <c:rich>
              <a:bodyPr vert="horz" rot="0" anchor="ctr"/>
              <a:lstStyle/>
              <a:p>
                <a:pPr algn="ctr">
                  <a:defRPr/>
                </a:pPr>
                <a:r>
                  <a:rPr lang="en-US" cap="none" sz="925" b="1" i="0" u="none" baseline="0"/>
                  <a:t>Scope 3 Category</a:t>
                </a:r>
              </a:p>
            </c:rich>
          </c:tx>
          <c:layout/>
          <c:overlay val="0"/>
          <c:spPr>
            <a:noFill/>
            <a:ln>
              <a:noFill/>
            </a:ln>
          </c:spPr>
        </c:title>
        <c:delete val="0"/>
        <c:numFmt formatCode="General" sourceLinked="1"/>
        <c:majorTickMark val="out"/>
        <c:minorTickMark val="none"/>
        <c:tickLblPos val="nextTo"/>
        <c:crossAx val="47740598"/>
        <c:crosses val="autoZero"/>
        <c:auto val="1"/>
        <c:lblOffset val="100"/>
        <c:noMultiLvlLbl val="0"/>
      </c:catAx>
      <c:valAx>
        <c:axId val="47740598"/>
        <c:scaling>
          <c:orientation val="minMax"/>
        </c:scaling>
        <c:axPos val="l"/>
        <c:title>
          <c:tx>
            <c:rich>
              <a:bodyPr vert="horz" rot="-5400000" anchor="ctr"/>
              <a:lstStyle/>
              <a:p>
                <a:pPr algn="ctr">
                  <a:defRPr/>
                </a:pPr>
                <a:r>
                  <a:rPr lang="en-US" cap="none" sz="925" b="1" i="0" u="none" baseline="0"/>
                  <a:t>Emissions (MTCO</a:t>
                </a:r>
                <a:r>
                  <a:rPr lang="en-US" cap="none" sz="925" b="1" i="0" u="none" baseline="-25000"/>
                  <a:t>2</a:t>
                </a:r>
                <a:r>
                  <a:rPr lang="en-US" cap="none" sz="925" b="1" i="0" u="none" baseline="0"/>
                  <a:t>Eq.)</a:t>
                </a:r>
              </a:p>
            </c:rich>
          </c:tx>
          <c:layout/>
          <c:overlay val="0"/>
          <c:spPr>
            <a:noFill/>
            <a:ln>
              <a:noFill/>
            </a:ln>
          </c:spPr>
        </c:title>
        <c:delete val="0"/>
        <c:numFmt formatCode="General" sourceLinked="1"/>
        <c:majorTickMark val="out"/>
        <c:minorTickMark val="none"/>
        <c:tickLblPos val="nextTo"/>
        <c:crossAx val="42587213"/>
        <c:crossesAt val="1"/>
        <c:crossBetween val="between"/>
        <c:dispUnits/>
      </c:valAx>
      <c:spPr>
        <a:solidFill>
          <a:srgbClr val="FFFFFF"/>
        </a:solidFill>
        <a:ln w="12700">
          <a:solidFill>
            <a:srgbClr val="808080"/>
          </a:solidFill>
        </a:ln>
      </c:spPr>
    </c:plotArea>
    <c:legend>
      <c:legendPos val="r"/>
      <c:layout>
        <c:manualLayout>
          <c:xMode val="edge"/>
          <c:yMode val="edge"/>
          <c:x val="0.877"/>
          <c:y val="0.30225"/>
          <c:w val="0.11175"/>
          <c:h val="0.465"/>
        </c:manualLayout>
      </c:layout>
      <c:overlay val="0"/>
      <c:spPr>
        <a:ln w="3175">
          <a:no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Scope 1: Percent of Total Mobile Combustion Emissions by Transportation Type</a:t>
            </a:r>
          </a:p>
        </c:rich>
      </c:tx>
      <c:layout>
        <c:manualLayout>
          <c:xMode val="factor"/>
          <c:yMode val="factor"/>
          <c:x val="0.028"/>
          <c:y val="-0.0215"/>
        </c:manualLayout>
      </c:layout>
      <c:spPr>
        <a:noFill/>
        <a:ln>
          <a:noFill/>
        </a:ln>
      </c:spPr>
    </c:title>
    <c:plotArea>
      <c:layout>
        <c:manualLayout>
          <c:xMode val="edge"/>
          <c:yMode val="edge"/>
          <c:x val="0.221"/>
          <c:y val="0.26525"/>
          <c:w val="0.37425"/>
          <c:h val="0.68625"/>
        </c:manualLayout>
      </c:layout>
      <c:pieChart>
        <c:varyColors val="1"/>
        <c:ser>
          <c:idx val="0"/>
          <c:order val="0"/>
          <c:tx>
            <c:strRef>
              <c:f>Summary!$G$5</c:f>
              <c:strCache>
                <c:ptCount val="1"/>
                <c:pt idx="0">
                  <c:v>Total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99"/>
              </a:solidFill>
            </c:spPr>
          </c:dPt>
          <c:dPt>
            <c:idx val="1"/>
            <c:spPr>
              <a:solidFill>
                <a:srgbClr val="0000FF"/>
              </a:solidFill>
            </c:spPr>
          </c:dPt>
          <c:dPt>
            <c:idx val="2"/>
            <c:spPr>
              <a:solidFill>
                <a:srgbClr val="CCCCFF"/>
              </a:solidFill>
            </c:spPr>
          </c:dPt>
          <c:dPt>
            <c:idx val="3"/>
            <c:spPr>
              <a:solidFill>
                <a:srgbClr val="800080"/>
              </a:solidFill>
            </c:spPr>
          </c:dPt>
          <c:dPt>
            <c:idx val="4"/>
            <c:spPr>
              <a:solidFill>
                <a:srgbClr val="00FFFF"/>
              </a:solidFill>
            </c:spPr>
          </c:dPt>
          <c:dLbls>
            <c:dLbl>
              <c:idx val="0"/>
              <c:txPr>
                <a:bodyPr vert="horz" rot="0" anchor="ctr"/>
                <a:lstStyle/>
                <a:p>
                  <a:pPr algn="ctr">
                    <a:defRPr lang="en-US" cap="none" sz="85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85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5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85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85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850" b="0" i="0" u="none" baseline="0"/>
                </a:pPr>
              </a:p>
            </c:txPr>
            <c:showLegendKey val="0"/>
            <c:showVal val="0"/>
            <c:showBubbleSize val="0"/>
            <c:showCatName val="0"/>
            <c:showSerName val="0"/>
            <c:showLeaderLines val="1"/>
            <c:showPercent val="1"/>
          </c:dLbls>
          <c:cat>
            <c:strRef>
              <c:f>Summary!$B$13:$B$15</c:f>
              <c:strCache/>
            </c:strRef>
          </c:cat>
          <c:val>
            <c:numRef>
              <c:f>Summary!$G$13:$G$15</c:f>
              <c:numCache>
                <c:ptCount val="3"/>
                <c:pt idx="0">
                  <c:v>0</c:v>
                </c:pt>
                <c:pt idx="1">
                  <c:v>0</c:v>
                </c:pt>
                <c:pt idx="2">
                  <c:v>0</c:v>
                </c:pt>
              </c:numCache>
            </c:numRef>
          </c:val>
        </c:ser>
        <c:ser>
          <c:idx val="1"/>
          <c:order val="1"/>
          <c:tx>
            <c:strRef>
              <c:f>Summary!$D$5</c:f>
              <c:strCache>
                <c:ptCount val="1"/>
                <c:pt idx="0">
                  <c:v>CH4</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Summary!$B$13:$B$15</c:f>
              <c:strCache/>
            </c:strRef>
          </c:cat>
          <c:val>
            <c:numRef>
              <c:f>Summary!$D$6:$D$10</c:f>
              <c:numCache>
                <c:ptCount val="3"/>
                <c:pt idx="0">
                  <c:v>0</c:v>
                </c:pt>
                <c:pt idx="1">
                  <c:v>0</c:v>
                </c:pt>
                <c:pt idx="2">
                  <c:v>0</c:v>
                </c:pt>
              </c:numCache>
            </c:numRef>
          </c:val>
        </c:ser>
        <c:ser>
          <c:idx val="2"/>
          <c:order val="2"/>
          <c:tx>
            <c:strRef>
              <c:f>Summary!$E$5</c:f>
              <c:strCache>
                <c:ptCount val="1"/>
                <c:pt idx="0">
                  <c:v>N2O</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Summary!$B$13:$B$15</c:f>
              <c:strCache/>
            </c:strRef>
          </c:cat>
          <c:val>
            <c:numRef>
              <c:f>Summary!$E$6:$E$10</c:f>
              <c:numCache>
                <c:ptCount val="3"/>
                <c:pt idx="0">
                  <c:v>0</c:v>
                </c:pt>
                <c:pt idx="1">
                  <c:v>0</c:v>
                </c:pt>
                <c:pt idx="2">
                  <c:v>0</c:v>
                </c:pt>
              </c:numCache>
            </c:numRef>
          </c:val>
        </c:ser>
      </c:pieChart>
      <c:spPr>
        <a:noFill/>
        <a:ln>
          <a:noFill/>
        </a:ln>
      </c:spPr>
    </c:plotArea>
    <c:legend>
      <c:legendPos val="r"/>
      <c:layout>
        <c:manualLayout>
          <c:xMode val="edge"/>
          <c:yMode val="edge"/>
          <c:x val="0.7135"/>
          <c:y val="0.23425"/>
          <c:w val="0.27825"/>
          <c:h val="0.6505"/>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t>Total Emissions by Source and Gas 
(MTCO</a:t>
            </a:r>
            <a:r>
              <a:rPr lang="en-US" cap="none" sz="1550" b="1" i="0" u="none" baseline="-25000"/>
              <a:t>2</a:t>
            </a:r>
            <a:r>
              <a:rPr lang="en-US" cap="none" sz="1550" b="1" i="0" u="none" baseline="0"/>
              <a:t> Eq.)</a:t>
            </a:r>
          </a:p>
        </c:rich>
      </c:tx>
      <c:layout>
        <c:manualLayout>
          <c:xMode val="factor"/>
          <c:yMode val="factor"/>
          <c:x val="0.009"/>
          <c:y val="-0.019"/>
        </c:manualLayout>
      </c:layout>
      <c:spPr>
        <a:noFill/>
        <a:ln>
          <a:noFill/>
        </a:ln>
      </c:spPr>
    </c:title>
    <c:plotArea>
      <c:layout>
        <c:manualLayout>
          <c:xMode val="edge"/>
          <c:yMode val="edge"/>
          <c:x val="0.0555"/>
          <c:y val="0.133"/>
          <c:w val="0.93925"/>
          <c:h val="0.867"/>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c:spPr>
          </c:dPt>
          <c:dPt>
            <c:idx val="1"/>
            <c:invertIfNegative val="0"/>
            <c:spPr>
              <a:solidFill>
                <a:srgbClr val="FF0000"/>
              </a:solidFill>
            </c:spPr>
          </c:dPt>
          <c:dPt>
            <c:idx val="2"/>
            <c:invertIfNegative val="0"/>
            <c:spPr>
              <a:solidFill>
                <a:srgbClr val="FF6600"/>
              </a:solidFill>
            </c:spPr>
          </c:dPt>
          <c:dPt>
            <c:idx val="3"/>
            <c:invertIfNegative val="0"/>
            <c:spPr>
              <a:solidFill>
                <a:srgbClr val="008000"/>
              </a:solidFill>
            </c:spPr>
          </c:dPt>
          <c:dPt>
            <c:idx val="4"/>
            <c:invertIfNegative val="0"/>
            <c:spPr>
              <a:solidFill>
                <a:srgbClr val="800080"/>
              </a:solidFill>
            </c:spPr>
          </c:dPt>
          <c:cat>
            <c:strRef>
              <c:f>(Summary!$B$11,Summary!$B$16,Summary!$B$20,Summary!$B$24,Summary!$B$28)</c:f>
              <c:strCache/>
            </c:strRef>
          </c:cat>
          <c:val>
            <c:numRef>
              <c:f>(Summary!$G$11,Summary!$G$16,Summary!$G$20,Summary!$G$24,Summary!$G$28)</c:f>
              <c:numCache>
                <c:ptCount val="5"/>
                <c:pt idx="0">
                  <c:v>0</c:v>
                </c:pt>
                <c:pt idx="1">
                  <c:v>0</c:v>
                </c:pt>
                <c:pt idx="2">
                  <c:v>0</c:v>
                </c:pt>
                <c:pt idx="3">
                  <c:v>0</c:v>
                </c:pt>
                <c:pt idx="4">
                  <c:v>0</c:v>
                </c:pt>
              </c:numCache>
            </c:numRef>
          </c:val>
        </c:ser>
        <c:axId val="27012199"/>
        <c:axId val="41783200"/>
      </c:barChart>
      <c:catAx>
        <c:axId val="27012199"/>
        <c:scaling>
          <c:orientation val="minMax"/>
        </c:scaling>
        <c:axPos val="b"/>
        <c:delete val="0"/>
        <c:numFmt formatCode="General" sourceLinked="1"/>
        <c:majorTickMark val="out"/>
        <c:minorTickMark val="none"/>
        <c:tickLblPos val="nextTo"/>
        <c:crossAx val="41783200"/>
        <c:crosses val="autoZero"/>
        <c:auto val="1"/>
        <c:lblOffset val="100"/>
        <c:noMultiLvlLbl val="0"/>
      </c:catAx>
      <c:valAx>
        <c:axId val="41783200"/>
        <c:scaling>
          <c:orientation val="minMax"/>
        </c:scaling>
        <c:axPos val="l"/>
        <c:title>
          <c:tx>
            <c:rich>
              <a:bodyPr vert="horz" rot="-5400000" anchor="ctr"/>
              <a:lstStyle/>
              <a:p>
                <a:pPr algn="ctr">
                  <a:defRPr/>
                </a:pPr>
                <a:r>
                  <a:rPr lang="en-US" cap="none" sz="1200" b="1" i="0" u="none" baseline="0"/>
                  <a:t> (MTCO</a:t>
                </a:r>
                <a:r>
                  <a:rPr lang="en-US" cap="none" sz="1200" b="1" i="0" u="none" baseline="-25000"/>
                  <a:t>2</a:t>
                </a:r>
                <a:r>
                  <a:rPr lang="en-US" cap="none" sz="1200" b="1" i="0" u="none" baseline="0"/>
                  <a:t>Eq.)</a:t>
                </a:r>
              </a:p>
            </c:rich>
          </c:tx>
          <c:layout/>
          <c:overlay val="0"/>
          <c:spPr>
            <a:noFill/>
            <a:ln>
              <a:noFill/>
            </a:ln>
          </c:spPr>
        </c:title>
        <c:delete val="0"/>
        <c:numFmt formatCode="#,##0" sourceLinked="0"/>
        <c:majorTickMark val="out"/>
        <c:minorTickMark val="none"/>
        <c:tickLblPos val="nextTo"/>
        <c:crossAx val="2701219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Percent of Total Emissions, by Source</a:t>
            </a:r>
          </a:p>
        </c:rich>
      </c:tx>
      <c:layout/>
      <c:spPr>
        <a:noFill/>
        <a:ln>
          <a:noFill/>
        </a:ln>
      </c:spPr>
    </c:title>
    <c:plotArea>
      <c:layout>
        <c:manualLayout>
          <c:xMode val="edge"/>
          <c:yMode val="edge"/>
          <c:x val="0.05775"/>
          <c:y val="0.185"/>
          <c:w val="0.53475"/>
          <c:h val="0.73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Lbls>
            <c:dLbl>
              <c:idx val="1"/>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strRef>
              <c:f>(Summary!$B$11,Summary!$B$16,Summary!$B$20,Summary!$B$24,Summary!$B$28)</c:f>
              <c:strCache/>
            </c:strRef>
          </c:cat>
          <c:val>
            <c:numRef>
              <c:f>(Summary!$G$11,Summary!$G$16,Summary!$G$20,Summary!$G$24,Summary!$G$28)</c:f>
              <c:numCache>
                <c:ptCount val="5"/>
                <c:pt idx="0">
                  <c:v>0</c:v>
                </c:pt>
                <c:pt idx="1">
                  <c:v>0</c:v>
                </c:pt>
                <c:pt idx="2">
                  <c:v>0</c:v>
                </c:pt>
                <c:pt idx="3">
                  <c:v>0</c:v>
                </c:pt>
                <c:pt idx="4">
                  <c:v>0</c:v>
                </c:pt>
              </c:numCache>
            </c:numRef>
          </c:val>
        </c:ser>
      </c:pieChart>
      <c:spPr>
        <a:noFill/>
        <a:ln>
          <a:noFill/>
        </a:ln>
      </c:spPr>
    </c:plotArea>
    <c:legend>
      <c:legendPos val="r"/>
      <c:layout>
        <c:manualLayout>
          <c:xMode val="edge"/>
          <c:yMode val="edge"/>
          <c:x val="0.63075"/>
          <c:y val="0.33075"/>
          <c:w val="0.3665"/>
          <c:h val="0.44625"/>
        </c:manualLayout>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11.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12.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13.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14.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15.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2.xml.rels><?xml version="1.0" encoding="utf-8" standalone="yes"?><Relationships xmlns="http://schemas.openxmlformats.org/package/2006/relationships"><Relationship Id="rId1" Type="http://schemas.openxmlformats.org/officeDocument/2006/relationships/hyperlink" Target="#'Table 1. GWPs'!A1" /><Relationship Id="rId2" Type="http://schemas.openxmlformats.org/officeDocument/2006/relationships/hyperlink" Target="#Calculations!A1" /><Relationship Id="rId3" Type="http://schemas.openxmlformats.org/officeDocument/2006/relationships/hyperlink" Target="#Welc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6.emf" /><Relationship Id="rId4" Type="http://schemas.openxmlformats.org/officeDocument/2006/relationships/image" Target="../media/image5.emf" /><Relationship Id="rId5" Type="http://schemas.openxmlformats.org/officeDocument/2006/relationships/image" Target="../media/image1.emf" /><Relationship Id="rId6" Type="http://schemas.openxmlformats.org/officeDocument/2006/relationships/hyperlink" Target="#'Mobile Factors'!A1" /><Relationship Id="rId7" Type="http://schemas.openxmlformats.org/officeDocument/2006/relationships/hyperlink" Target="#'Heating Values'!A1" /><Relationship Id="rId8" Type="http://schemas.openxmlformats.org/officeDocument/2006/relationships/hyperlink" Target="#'Carbon Contents'!A1" /><Relationship Id="rId9" Type="http://schemas.openxmlformats.org/officeDocument/2006/relationships/hyperlink" Target="#'Oxidation Factors'!A1" /><Relationship Id="rId10" Type="http://schemas.openxmlformats.org/officeDocument/2006/relationships/hyperlink" Target="#Densities!A1" /><Relationship Id="rId11" Type="http://schemas.openxmlformats.org/officeDocument/2006/relationships/hyperlink" Target="#'NonCO2 Emission Factors'!A1" /><Relationship Id="rId12" Type="http://schemas.openxmlformats.org/officeDocument/2006/relationships/hyperlink" Target="#'US EF'!A1" /><Relationship Id="rId13" Type="http://schemas.openxmlformats.org/officeDocument/2006/relationships/hyperlink" Target="#'Table 2. Default IPCC Values'!A1" /><Relationship Id="rId14" Type="http://schemas.openxmlformats.org/officeDocument/2006/relationships/hyperlink" Target="#'Conversion Factors'!A1" /><Relationship Id="rId15" Type="http://schemas.openxmlformats.org/officeDocument/2006/relationships/hyperlink" Target="#'Acetylene Calcs'!A1" /><Relationship Id="rId16" Type="http://schemas.openxmlformats.org/officeDocument/2006/relationships/hyperlink" Target="#Summary!A1" /><Relationship Id="rId17" Type="http://schemas.openxmlformats.org/officeDocument/2006/relationships/hyperlink" Target="#Introduction!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6.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7.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8.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9.xml.rels><?xml version="1.0" encoding="utf-8" standalone="yes"?><Relationships xmlns="http://schemas.openxmlformats.org/package/2006/relationships"><Relationship Id="rId1" Type="http://schemas.openxmlformats.org/officeDocument/2006/relationships/hyperlink" Target="#Calculations!A62"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25</xdr:row>
      <xdr:rowOff>47625</xdr:rowOff>
    </xdr:from>
    <xdr:to>
      <xdr:col>1</xdr:col>
      <xdr:colOff>704850</xdr:colOff>
      <xdr:row>28</xdr:row>
      <xdr:rowOff>57150</xdr:rowOff>
    </xdr:to>
    <xdr:pic>
      <xdr:nvPicPr>
        <xdr:cNvPr id="1" name="Picture 2"/>
        <xdr:cNvPicPr preferRelativeResize="1">
          <a:picLocks noChangeAspect="1"/>
        </xdr:cNvPicPr>
      </xdr:nvPicPr>
      <xdr:blipFill>
        <a:blip r:embed="rId1"/>
        <a:stretch>
          <a:fillRect/>
        </a:stretch>
      </xdr:blipFill>
      <xdr:spPr>
        <a:xfrm>
          <a:off x="228600" y="5419725"/>
          <a:ext cx="647700" cy="495300"/>
        </a:xfrm>
        <a:prstGeom prst="rect">
          <a:avLst/>
        </a:prstGeom>
        <a:noFill/>
        <a:ln w="9525" cmpd="sng">
          <a:noFill/>
        </a:ln>
      </xdr:spPr>
    </xdr:pic>
    <xdr:clientData/>
  </xdr:twoCellAnchor>
  <xdr:twoCellAnchor>
    <xdr:from>
      <xdr:col>8</xdr:col>
      <xdr:colOff>409575</xdr:colOff>
      <xdr:row>0</xdr:row>
      <xdr:rowOff>190500</xdr:rowOff>
    </xdr:from>
    <xdr:to>
      <xdr:col>10</xdr:col>
      <xdr:colOff>161925</xdr:colOff>
      <xdr:row>0</xdr:row>
      <xdr:rowOff>590550</xdr:rowOff>
    </xdr:to>
    <xdr:sp macro="[0]!GoBackground">
      <xdr:nvSpPr>
        <xdr:cNvPr id="2" name="AutoShape 16"/>
        <xdr:cNvSpPr>
          <a:spLocks/>
        </xdr:cNvSpPr>
      </xdr:nvSpPr>
      <xdr:spPr>
        <a:xfrm>
          <a:off x="7105650" y="190500"/>
          <a:ext cx="971550" cy="400050"/>
        </a:xfrm>
        <a:prstGeom prst="homePlate">
          <a:avLst/>
        </a:prstGeom>
        <a:gradFill rotWithShape="1">
          <a:gsLst>
            <a:gs pos="0">
              <a:srgbClr val="E6E6FF"/>
            </a:gs>
            <a:gs pos="100000">
              <a:srgbClr val="9999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Introduction Sheet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3</xdr:row>
      <xdr:rowOff>76200</xdr:rowOff>
    </xdr:from>
    <xdr:to>
      <xdr:col>13</xdr:col>
      <xdr:colOff>266700</xdr:colOff>
      <xdr:row>3</xdr:row>
      <xdr:rowOff>476250</xdr:rowOff>
    </xdr:to>
    <xdr:sp macro="[0]!GoBackground">
      <xdr:nvSpPr>
        <xdr:cNvPr id="1" name="AutoShape 7">
          <a:hlinkClick r:id="rId1"/>
        </xdr:cNvPr>
        <xdr:cNvSpPr>
          <a:spLocks/>
        </xdr:cNvSpPr>
      </xdr:nvSpPr>
      <xdr:spPr>
        <a:xfrm flipH="1">
          <a:off x="9448800" y="95250"/>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0</xdr:row>
      <xdr:rowOff>95250</xdr:rowOff>
    </xdr:from>
    <xdr:to>
      <xdr:col>7</xdr:col>
      <xdr:colOff>590550</xdr:colOff>
      <xdr:row>0</xdr:row>
      <xdr:rowOff>495300</xdr:rowOff>
    </xdr:to>
    <xdr:sp macro="[0]!GoBackground">
      <xdr:nvSpPr>
        <xdr:cNvPr id="1" name="AutoShape 2">
          <a:hlinkClick r:id="rId1"/>
        </xdr:cNvPr>
        <xdr:cNvSpPr>
          <a:spLocks/>
        </xdr:cNvSpPr>
      </xdr:nvSpPr>
      <xdr:spPr>
        <a:xfrm flipH="1">
          <a:off x="8562975" y="95250"/>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0</xdr:row>
      <xdr:rowOff>95250</xdr:rowOff>
    </xdr:from>
    <xdr:to>
      <xdr:col>7</xdr:col>
      <xdr:colOff>1066800</xdr:colOff>
      <xdr:row>0</xdr:row>
      <xdr:rowOff>495300</xdr:rowOff>
    </xdr:to>
    <xdr:sp macro="[0]!GoBackground">
      <xdr:nvSpPr>
        <xdr:cNvPr id="1" name="AutoShape 8">
          <a:hlinkClick r:id="rId1"/>
        </xdr:cNvPr>
        <xdr:cNvSpPr>
          <a:spLocks/>
        </xdr:cNvSpPr>
      </xdr:nvSpPr>
      <xdr:spPr>
        <a:xfrm flipH="1">
          <a:off x="8562975" y="95250"/>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0</xdr:row>
      <xdr:rowOff>95250</xdr:rowOff>
    </xdr:from>
    <xdr:to>
      <xdr:col>10</xdr:col>
      <xdr:colOff>114300</xdr:colOff>
      <xdr:row>0</xdr:row>
      <xdr:rowOff>495300</xdr:rowOff>
    </xdr:to>
    <xdr:sp macro="[0]!GoBackground">
      <xdr:nvSpPr>
        <xdr:cNvPr id="1" name="AutoShape 110">
          <a:hlinkClick r:id="rId1"/>
        </xdr:cNvPr>
        <xdr:cNvSpPr>
          <a:spLocks/>
        </xdr:cNvSpPr>
      </xdr:nvSpPr>
      <xdr:spPr>
        <a:xfrm flipH="1">
          <a:off x="5791200" y="95250"/>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1257300</xdr:colOff>
      <xdr:row>0</xdr:row>
      <xdr:rowOff>95250</xdr:rowOff>
    </xdr:from>
    <xdr:to>
      <xdr:col>5</xdr:col>
      <xdr:colOff>2305050</xdr:colOff>
      <xdr:row>0</xdr:row>
      <xdr:rowOff>495300</xdr:rowOff>
    </xdr:to>
    <xdr:sp macro="[0]!GoBackground">
      <xdr:nvSpPr>
        <xdr:cNvPr id="1" name="AutoShape 3">
          <a:hlinkClick r:id="rId1"/>
        </xdr:cNvPr>
        <xdr:cNvSpPr>
          <a:spLocks/>
        </xdr:cNvSpPr>
      </xdr:nvSpPr>
      <xdr:spPr>
        <a:xfrm flipH="1">
          <a:off x="7629525" y="95250"/>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4</xdr:row>
      <xdr:rowOff>85725</xdr:rowOff>
    </xdr:from>
    <xdr:to>
      <xdr:col>6</xdr:col>
      <xdr:colOff>428625</xdr:colOff>
      <xdr:row>4</xdr:row>
      <xdr:rowOff>85725</xdr:rowOff>
    </xdr:to>
    <xdr:sp>
      <xdr:nvSpPr>
        <xdr:cNvPr id="1" name="Line 1"/>
        <xdr:cNvSpPr>
          <a:spLocks/>
        </xdr:cNvSpPr>
      </xdr:nvSpPr>
      <xdr:spPr>
        <a:xfrm>
          <a:off x="4581525" y="1219200"/>
          <a:ext cx="1800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16</xdr:row>
      <xdr:rowOff>104775</xdr:rowOff>
    </xdr:from>
    <xdr:to>
      <xdr:col>3</xdr:col>
      <xdr:colOff>533400</xdr:colOff>
      <xdr:row>16</xdr:row>
      <xdr:rowOff>104775</xdr:rowOff>
    </xdr:to>
    <xdr:sp>
      <xdr:nvSpPr>
        <xdr:cNvPr id="2" name="Line 3"/>
        <xdr:cNvSpPr>
          <a:spLocks/>
        </xdr:cNvSpPr>
      </xdr:nvSpPr>
      <xdr:spPr>
        <a:xfrm>
          <a:off x="3228975" y="2962275"/>
          <a:ext cx="1428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0</xdr:row>
      <xdr:rowOff>95250</xdr:rowOff>
    </xdr:from>
    <xdr:to>
      <xdr:col>9</xdr:col>
      <xdr:colOff>247650</xdr:colOff>
      <xdr:row>0</xdr:row>
      <xdr:rowOff>495300</xdr:rowOff>
    </xdr:to>
    <xdr:sp macro="[0]!GoBackground">
      <xdr:nvSpPr>
        <xdr:cNvPr id="3" name="AutoShape 44">
          <a:hlinkClick r:id="rId1"/>
        </xdr:cNvPr>
        <xdr:cNvSpPr>
          <a:spLocks/>
        </xdr:cNvSpPr>
      </xdr:nvSpPr>
      <xdr:spPr>
        <a:xfrm flipH="1">
          <a:off x="7000875" y="95250"/>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50</xdr:row>
      <xdr:rowOff>152400</xdr:rowOff>
    </xdr:from>
    <xdr:to>
      <xdr:col>13</xdr:col>
      <xdr:colOff>0</xdr:colOff>
      <xdr:row>76</xdr:row>
      <xdr:rowOff>28575</xdr:rowOff>
    </xdr:to>
    <xdr:grpSp>
      <xdr:nvGrpSpPr>
        <xdr:cNvPr id="1" name="Group 26"/>
        <xdr:cNvGrpSpPr>
          <a:grpSpLocks/>
        </xdr:cNvGrpSpPr>
      </xdr:nvGrpSpPr>
      <xdr:grpSpPr>
        <a:xfrm>
          <a:off x="1209675" y="10563225"/>
          <a:ext cx="6305550" cy="4086225"/>
          <a:chOff x="21" y="351"/>
          <a:chExt cx="662" cy="429"/>
        </a:xfrm>
        <a:solidFill>
          <a:srgbClr val="FFFFFF"/>
        </a:solidFill>
      </xdr:grpSpPr>
      <xdr:sp>
        <xdr:nvSpPr>
          <xdr:cNvPr id="2" name="Rectangle 16"/>
          <xdr:cNvSpPr>
            <a:spLocks/>
          </xdr:cNvSpPr>
        </xdr:nvSpPr>
        <xdr:spPr>
          <a:xfrm>
            <a:off x="21" y="351"/>
            <a:ext cx="662" cy="42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17"/>
          <xdr:cNvGrpSpPr>
            <a:grpSpLocks/>
          </xdr:cNvGrpSpPr>
        </xdr:nvGrpSpPr>
        <xdr:grpSpPr>
          <a:xfrm>
            <a:off x="31" y="397"/>
            <a:ext cx="623" cy="358"/>
            <a:chOff x="74" y="349"/>
            <a:chExt cx="623" cy="358"/>
          </a:xfrm>
          <a:solidFill>
            <a:srgbClr val="FFFFFF"/>
          </a:solidFill>
        </xdr:grpSpPr>
        <xdr:grpSp>
          <xdr:nvGrpSpPr>
            <xdr:cNvPr id="4" name="Group 14"/>
            <xdr:cNvGrpSpPr>
              <a:grpSpLocks/>
            </xdr:cNvGrpSpPr>
          </xdr:nvGrpSpPr>
          <xdr:grpSpPr>
            <a:xfrm>
              <a:off x="74" y="466"/>
              <a:ext cx="623" cy="241"/>
              <a:chOff x="74" y="466"/>
              <a:chExt cx="623" cy="241"/>
            </a:xfrm>
            <a:solidFill>
              <a:srgbClr val="FFFFFF"/>
            </a:solidFill>
          </xdr:grpSpPr>
          <xdr:sp>
            <xdr:nvSpPr>
              <xdr:cNvPr id="5" name="AutoShape 4"/>
              <xdr:cNvSpPr>
                <a:spLocks/>
              </xdr:cNvSpPr>
            </xdr:nvSpPr>
            <xdr:spPr>
              <a:xfrm rot="16200000">
                <a:off x="436" y="502"/>
                <a:ext cx="136" cy="140"/>
              </a:xfrm>
              <a:prstGeom prst="bentArrow">
                <a:avLst/>
              </a:prstGeom>
              <a:solidFill>
                <a:srgbClr val="008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5"/>
              <xdr:cNvSpPr>
                <a:spLocks/>
              </xdr:cNvSpPr>
            </xdr:nvSpPr>
            <xdr:spPr>
              <a:xfrm rot="5400000" flipH="1">
                <a:off x="189" y="504"/>
                <a:ext cx="140" cy="135"/>
              </a:xfrm>
              <a:prstGeom prst="bentArrow">
                <a:avLst/>
              </a:prstGeom>
              <a:solidFill>
                <a:srgbClr val="FF9900"/>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
                </a:r>
              </a:p>
            </xdr:txBody>
          </xdr:sp>
          <xdr:sp>
            <xdr:nvSpPr>
              <xdr:cNvPr id="7" name="AutoShape 6"/>
              <xdr:cNvSpPr>
                <a:spLocks/>
              </xdr:cNvSpPr>
            </xdr:nvSpPr>
            <xdr:spPr>
              <a:xfrm>
                <a:off x="345" y="502"/>
                <a:ext cx="80" cy="136"/>
              </a:xfrm>
              <a:prstGeom prst="upArrow">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2" name="AutoShape 11"/>
            <xdr:cNvSpPr>
              <a:spLocks/>
            </xdr:cNvSpPr>
          </xdr:nvSpPr>
          <xdr:spPr>
            <a:xfrm>
              <a:off x="155" y="370"/>
              <a:ext cx="132" cy="72"/>
            </a:xfrm>
            <a:prstGeom prst="cloudCallout">
              <a:avLst>
                <a:gd name="adj1" fmla="val 34291"/>
                <a:gd name="adj2" fmla="val 87129"/>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000" b="0" i="0" u="none" baseline="0">
                  <a:solidFill>
                    <a:srgbClr val="000000"/>
                  </a:solidFill>
                </a:rPr>
                <a:t>CO</a:t>
              </a:r>
              <a:r>
                <a:rPr lang="en-US" cap="none" sz="1000" b="0" i="0" u="none" baseline="-25000">
                  <a:solidFill>
                    <a:srgbClr val="000000"/>
                  </a:solidFill>
                </a:rPr>
                <a:t>2</a:t>
              </a:r>
              <a:r>
                <a:rPr lang="en-US" cap="none" sz="1000" b="0" i="0" u="none" baseline="0">
                  <a:solidFill>
                    <a:srgbClr val="000000"/>
                  </a:solidFill>
                </a:rPr>
                <a:t>, CH</a:t>
              </a:r>
              <a:r>
                <a:rPr lang="en-US" cap="none" sz="1000" b="0" i="0" u="none" baseline="-25000">
                  <a:solidFill>
                    <a:srgbClr val="000000"/>
                  </a:solidFill>
                </a:rPr>
                <a:t>4</a:t>
              </a:r>
              <a:r>
                <a:rPr lang="en-US" cap="none" sz="1000" b="0" i="0" u="none" baseline="0">
                  <a:solidFill>
                    <a:srgbClr val="000000"/>
                  </a:solidFill>
                </a:rPr>
                <a:t>,
N</a:t>
              </a:r>
              <a:r>
                <a:rPr lang="en-US" cap="none" sz="1000" b="0" i="0" u="none" baseline="-25000">
                  <a:solidFill>
                    <a:srgbClr val="000000"/>
                  </a:solidFill>
                </a:rPr>
                <a:t>2</a:t>
              </a:r>
              <a:r>
                <a:rPr lang="en-US" cap="none" sz="1000" b="0" i="0" u="none" baseline="0">
                  <a:solidFill>
                    <a:srgbClr val="000000"/>
                  </a:solidFill>
                </a:rPr>
                <a:t>O
</a:t>
              </a:r>
            </a:p>
          </xdr:txBody>
        </xdr:sp>
        <xdr:sp>
          <xdr:nvSpPr>
            <xdr:cNvPr id="13" name="AutoShape 12"/>
            <xdr:cNvSpPr>
              <a:spLocks/>
            </xdr:cNvSpPr>
          </xdr:nvSpPr>
          <xdr:spPr>
            <a:xfrm>
              <a:off x="484" y="349"/>
              <a:ext cx="162" cy="98"/>
            </a:xfrm>
            <a:prstGeom prst="cloudCallout">
              <a:avLst>
                <a:gd name="adj1" fmla="val -41356"/>
                <a:gd name="adj2" fmla="val 74490"/>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000" b="0" i="0" u="none" baseline="0">
                  <a:solidFill>
                    <a:srgbClr val="000000"/>
                  </a:solidFill>
                </a:rPr>
                <a:t>CO</a:t>
              </a:r>
              <a:r>
                <a:rPr lang="en-US" cap="none" sz="1000" b="0" i="0" u="none" baseline="-25000">
                  <a:solidFill>
                    <a:srgbClr val="000000"/>
                  </a:solidFill>
                </a:rPr>
                <a:t>2</a:t>
              </a:r>
              <a:r>
                <a:rPr lang="en-US" cap="none" sz="1000" b="0" i="0" u="none" baseline="0">
                  <a:solidFill>
                    <a:srgbClr val="000000"/>
                  </a:solidFill>
                </a:rPr>
                <a:t>, CH</a:t>
              </a:r>
              <a:r>
                <a:rPr lang="en-US" cap="none" sz="1000" b="0" i="0" u="none" baseline="-25000">
                  <a:solidFill>
                    <a:srgbClr val="000000"/>
                  </a:solidFill>
                </a:rPr>
                <a:t>4</a:t>
              </a:r>
              <a:r>
                <a:rPr lang="en-US" cap="none" sz="1000" b="0" i="0" u="none" baseline="0">
                  <a:solidFill>
                    <a:srgbClr val="000000"/>
                  </a:solidFill>
                </a:rPr>
                <a:t>,
N</a:t>
              </a:r>
              <a:r>
                <a:rPr lang="en-US" cap="none" sz="1000" b="0" i="0" u="none" baseline="-25000">
                  <a:solidFill>
                    <a:srgbClr val="000000"/>
                  </a:solidFill>
                </a:rPr>
                <a:t>2</a:t>
              </a:r>
              <a:r>
                <a:rPr lang="en-US" cap="none" sz="1000" b="0" i="0" u="none" baseline="0">
                  <a:solidFill>
                    <a:srgbClr val="000000"/>
                  </a:solidFill>
                </a:rPr>
                <a:t>O, HFC, PFC’s, SF</a:t>
              </a:r>
              <a:r>
                <a:rPr lang="en-US" cap="none" sz="1000" b="0" i="0" u="none" baseline="-25000">
                  <a:solidFill>
                    <a:srgbClr val="000000"/>
                  </a:solidFill>
                </a:rPr>
                <a:t>6</a:t>
              </a:r>
              <a:r>
                <a:rPr lang="en-US" cap="none" sz="1000" b="0" i="0" u="none" baseline="0">
                  <a:solidFill>
                    <a:srgbClr val="000000"/>
                  </a:solidFill>
                </a:rPr>
                <a:t>
</a:t>
              </a:r>
            </a:p>
          </xdr:txBody>
        </xdr:sp>
        <xdr:sp>
          <xdr:nvSpPr>
            <xdr:cNvPr id="14" name="AutoShape 13"/>
            <xdr:cNvSpPr>
              <a:spLocks/>
            </xdr:cNvSpPr>
          </xdr:nvSpPr>
          <xdr:spPr>
            <a:xfrm>
              <a:off x="309" y="358"/>
              <a:ext cx="131" cy="72"/>
            </a:xfrm>
            <a:prstGeom prst="cloudCallout">
              <a:avLst>
                <a:gd name="adj1" fmla="val 402"/>
                <a:gd name="adj2" fmla="val 99722"/>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000" b="0" i="0" u="none" baseline="0">
                  <a:solidFill>
                    <a:srgbClr val="000000"/>
                  </a:solidFill>
                </a:rPr>
                <a:t>CO</a:t>
              </a:r>
              <a:r>
                <a:rPr lang="en-US" cap="none" sz="1000" b="0" i="0" u="none" baseline="-25000">
                  <a:solidFill>
                    <a:srgbClr val="000000"/>
                  </a:solidFill>
                </a:rPr>
                <a:t>2</a:t>
              </a:r>
              <a:r>
                <a:rPr lang="en-US" cap="none" sz="1000" b="0" i="0" u="none" baseline="0">
                  <a:solidFill>
                    <a:srgbClr val="000000"/>
                  </a:solidFill>
                </a:rPr>
                <a:t>, CH</a:t>
              </a:r>
              <a:r>
                <a:rPr lang="en-US" cap="none" sz="1000" b="0" i="0" u="none" baseline="-25000">
                  <a:solidFill>
                    <a:srgbClr val="000000"/>
                  </a:solidFill>
                </a:rPr>
                <a:t>4</a:t>
              </a:r>
              <a:r>
                <a:rPr lang="en-US" cap="none" sz="1000" b="0" i="0" u="none" baseline="0">
                  <a:solidFill>
                    <a:srgbClr val="000000"/>
                  </a:solidFill>
                </a:rPr>
                <a:t>,
N</a:t>
              </a:r>
              <a:r>
                <a:rPr lang="en-US" cap="none" sz="1000" b="0" i="0" u="none" baseline="-25000">
                  <a:solidFill>
                    <a:srgbClr val="000000"/>
                  </a:solidFill>
                </a:rPr>
                <a:t>2</a:t>
              </a:r>
              <a:r>
                <a:rPr lang="en-US" cap="none" sz="1000" b="0" i="0" u="none" baseline="0">
                  <a:solidFill>
                    <a:srgbClr val="000000"/>
                  </a:solidFill>
                </a:rPr>
                <a:t>O
</a:t>
              </a:r>
            </a:p>
          </xdr:txBody>
        </xdr:sp>
      </xdr:grpSp>
    </xdr:grpSp>
    <xdr:clientData/>
  </xdr:twoCellAnchor>
  <xdr:twoCellAnchor>
    <xdr:from>
      <xdr:col>1</xdr:col>
      <xdr:colOff>19050</xdr:colOff>
      <xdr:row>34</xdr:row>
      <xdr:rowOff>104775</xdr:rowOff>
    </xdr:from>
    <xdr:to>
      <xdr:col>15</xdr:col>
      <xdr:colOff>466725</xdr:colOff>
      <xdr:row>49</xdr:row>
      <xdr:rowOff>95250</xdr:rowOff>
    </xdr:to>
    <xdr:sp>
      <xdr:nvSpPr>
        <xdr:cNvPr id="15" name="TextBox 25"/>
        <xdr:cNvSpPr txBox="1">
          <a:spLocks noChangeArrowheads="1"/>
        </xdr:cNvSpPr>
      </xdr:nvSpPr>
      <xdr:spPr>
        <a:xfrm>
          <a:off x="219075" y="7915275"/>
          <a:ext cx="8982075" cy="2428875"/>
        </a:xfrm>
        <a:prstGeom prst="rect">
          <a:avLst/>
        </a:prstGeom>
        <a:solidFill>
          <a:srgbClr val="FFFFFF"/>
        </a:solidFill>
        <a:ln w="38100" cmpd="dbl">
          <a:solidFill>
            <a:srgbClr val="0000FF"/>
          </a:solidFill>
          <a:headEnd type="none"/>
          <a:tailEnd type="none"/>
        </a:ln>
      </xdr:spPr>
      <xdr:txBody>
        <a:bodyPr vertOverflow="clip" wrap="square"/>
        <a:p>
          <a:pPr algn="l">
            <a:defRPr/>
          </a:pPr>
          <a:r>
            <a:rPr lang="en-US" cap="none" sz="1000" b="0" i="0" u="none" baseline="0">
              <a:latin typeface="Verdana"/>
              <a:ea typeface="Verdana"/>
              <a:cs typeface="Verdana"/>
            </a:rPr>
            <a:t>WRI’s Corporate Protocol for GHG Accounting outlines 3 scopes used in GHG accounting and reporting purposes.  According to WRI, these scopes help delineate direct and indirect emission sources, improve transparency, and provide utility for different types of organizations and different types of climate policies and business goals. Under each scope, different sources of emissions are estimated.  The figure below displays these three scopes, and the sources calculated and included in this tool under their respective scope.
</a:t>
          </a:r>
          <a:r>
            <a:rPr lang="en-US" cap="none" sz="1000" b="1" i="0" u="none" baseline="0">
              <a:latin typeface="Verdana"/>
              <a:ea typeface="Verdana"/>
              <a:cs typeface="Verdana"/>
            </a:rPr>
            <a:t>Scope 1</a:t>
          </a:r>
          <a:r>
            <a:rPr lang="en-US" cap="none" sz="1000" b="0" i="0" u="none" baseline="0">
              <a:latin typeface="Verdana"/>
              <a:ea typeface="Verdana"/>
              <a:cs typeface="Verdana"/>
            </a:rPr>
            <a:t>: Direct GHG emissions occurring from sources that are owned or controlled by the shipyard.  For the shipbuilding tool, this includes stationary and mobile combustion.  Stationary combustion emissions are a result of fuel combusted in equipment used in the production of electricity, heat or steam.  Stationary combustion includes the use of mobile generators.  Mobile combustion emissions are a result of fuel combusted in company owned vehicles including road and water transportation (i.e. tugs and larger vessels).
</a:t>
          </a:r>
          <a:r>
            <a:rPr lang="en-US" cap="none" sz="1000" b="1" i="0" u="none" baseline="0">
              <a:latin typeface="Verdana"/>
              <a:ea typeface="Verdana"/>
              <a:cs typeface="Verdana"/>
            </a:rPr>
            <a:t>Scope 2</a:t>
          </a:r>
          <a:r>
            <a:rPr lang="en-US" cap="none" sz="1000" b="0" i="0" u="none" baseline="0">
              <a:latin typeface="Verdana"/>
              <a:ea typeface="Verdana"/>
              <a:cs typeface="Verdana"/>
            </a:rPr>
            <a:t>: GHG emissions resulting from the generation of purchased electricity consumed by the shipyard.
</a:t>
          </a:r>
          <a:r>
            <a:rPr lang="en-US" cap="none" sz="1000" b="1" i="0" u="none" baseline="0">
              <a:latin typeface="Verdana"/>
              <a:ea typeface="Verdana"/>
              <a:cs typeface="Verdana"/>
            </a:rPr>
            <a:t>Scope 3</a:t>
          </a:r>
          <a:r>
            <a:rPr lang="en-US" cap="none" sz="1000" b="0" i="0" u="none" baseline="0">
              <a:latin typeface="Verdana"/>
              <a:ea typeface="Verdana"/>
              <a:cs typeface="Verdana"/>
            </a:rPr>
            <a:t>: Indirect emissions from refrigerant product use, and other indirect emissions calculated by the shipyard.  This can include employee business travel, waste disposal, contractor owned vehicles, product use, and the production of purchased materials.
</a:t>
          </a:r>
        </a:p>
      </xdr:txBody>
    </xdr:sp>
    <xdr:clientData/>
  </xdr:twoCellAnchor>
  <xdr:twoCellAnchor>
    <xdr:from>
      <xdr:col>2</xdr:col>
      <xdr:colOff>457200</xdr:colOff>
      <xdr:row>51</xdr:row>
      <xdr:rowOff>38100</xdr:rowOff>
    </xdr:from>
    <xdr:to>
      <xdr:col>12</xdr:col>
      <xdr:colOff>552450</xdr:colOff>
      <xdr:row>53</xdr:row>
      <xdr:rowOff>66675</xdr:rowOff>
    </xdr:to>
    <xdr:sp>
      <xdr:nvSpPr>
        <xdr:cNvPr id="16" name="TextBox 27"/>
        <xdr:cNvSpPr txBox="1">
          <a:spLocks noChangeArrowheads="1"/>
        </xdr:cNvSpPr>
      </xdr:nvSpPr>
      <xdr:spPr>
        <a:xfrm>
          <a:off x="1266825" y="10610850"/>
          <a:ext cx="6191250" cy="352425"/>
        </a:xfrm>
        <a:prstGeom prst="rect">
          <a:avLst/>
        </a:prstGeom>
        <a:noFill/>
        <a:ln w="38100" cmpd="dbl">
          <a:noFill/>
        </a:ln>
      </xdr:spPr>
      <xdr:txBody>
        <a:bodyPr vertOverflow="clip" wrap="square" anchor="ctr"/>
        <a:p>
          <a:pPr algn="ctr">
            <a:defRPr/>
          </a:pPr>
          <a:r>
            <a:rPr lang="en-US" cap="none" sz="1300" b="0" i="0" u="none" baseline="0"/>
            <a:t>3 Scopes Included in WRI’s Corporate Protocol for GHG Accounting </a:t>
          </a:r>
        </a:p>
      </xdr:txBody>
    </xdr:sp>
    <xdr:clientData/>
  </xdr:twoCellAnchor>
  <xdr:twoCellAnchor>
    <xdr:from>
      <xdr:col>0</xdr:col>
      <xdr:colOff>152400</xdr:colOff>
      <xdr:row>14</xdr:row>
      <xdr:rowOff>9525</xdr:rowOff>
    </xdr:from>
    <xdr:to>
      <xdr:col>15</xdr:col>
      <xdr:colOff>400050</xdr:colOff>
      <xdr:row>21</xdr:row>
      <xdr:rowOff>95250</xdr:rowOff>
    </xdr:to>
    <xdr:sp>
      <xdr:nvSpPr>
        <xdr:cNvPr id="17" name="TextBox 28"/>
        <xdr:cNvSpPr txBox="1">
          <a:spLocks noChangeArrowheads="1"/>
        </xdr:cNvSpPr>
      </xdr:nvSpPr>
      <xdr:spPr>
        <a:xfrm>
          <a:off x="152400" y="4457700"/>
          <a:ext cx="8982075" cy="1219200"/>
        </a:xfrm>
        <a:prstGeom prst="rect">
          <a:avLst/>
        </a:prstGeom>
        <a:solidFill>
          <a:srgbClr val="FFFFFF"/>
        </a:solidFill>
        <a:ln w="38100" cmpd="dbl">
          <a:solidFill>
            <a:srgbClr val="0000FF"/>
          </a:solidFill>
          <a:headEnd type="none"/>
          <a:tailEnd type="none"/>
        </a:ln>
      </xdr:spPr>
      <xdr:txBody>
        <a:bodyPr vertOverflow="clip" wrap="square" anchor="ctr"/>
        <a:p>
          <a:pPr algn="l">
            <a:defRPr/>
          </a:pPr>
          <a:r>
            <a:rPr lang="en-US" cap="none" sz="1000" b="0" i="0" u="none" baseline="0">
              <a:latin typeface="Verdana"/>
              <a:ea typeface="Verdana"/>
              <a:cs typeface="Verdana"/>
            </a:rPr>
            <a:t>The Shipbuilding GHG Emission Inventory Tool contains a welcome sheet, this Introduction Sheet, a Calculations Sheet, and a Summary Sheet. A diagram of the layout is shown below.  
  -- The </a:t>
          </a:r>
          <a:r>
            <a:rPr lang="en-US" cap="none" sz="1000" b="1" i="0" u="none" baseline="0">
              <a:latin typeface="Verdana"/>
              <a:ea typeface="Verdana"/>
              <a:cs typeface="Verdana"/>
            </a:rPr>
            <a:t>Welcome Sheet </a:t>
          </a:r>
          <a:r>
            <a:rPr lang="en-US" cap="none" sz="1000" b="0" i="0" u="none" baseline="0">
              <a:latin typeface="Verdana"/>
              <a:ea typeface="Verdana"/>
              <a:cs typeface="Verdana"/>
            </a:rPr>
            <a:t>provides general information on the tool as well as a location to enter general information on your shipyard.
  -- The </a:t>
          </a:r>
          <a:r>
            <a:rPr lang="en-US" cap="none" sz="1000" b="1" i="0" u="none" baseline="0">
              <a:latin typeface="Verdana"/>
              <a:ea typeface="Verdana"/>
              <a:cs typeface="Verdana"/>
            </a:rPr>
            <a:t>Introduction Sheet</a:t>
          </a:r>
          <a:r>
            <a:rPr lang="en-US" cap="none" sz="1000" b="0" i="0" u="none" baseline="0">
              <a:latin typeface="Verdana"/>
              <a:ea typeface="Verdana"/>
              <a:cs typeface="Verdana"/>
            </a:rPr>
            <a:t> describes the tool structure and methodologies used to estimate emissions.
  -- The </a:t>
          </a:r>
          <a:r>
            <a:rPr lang="en-US" cap="none" sz="1000" b="1" i="0" u="none" baseline="0">
              <a:latin typeface="Verdana"/>
              <a:ea typeface="Verdana"/>
              <a:cs typeface="Verdana"/>
            </a:rPr>
            <a:t>Calculations Sheet</a:t>
          </a:r>
          <a:r>
            <a:rPr lang="en-US" cap="none" sz="1000" b="0" i="0" u="none" baseline="0">
              <a:latin typeface="Verdana"/>
              <a:ea typeface="Verdana"/>
              <a:cs typeface="Verdana"/>
            </a:rPr>
            <a:t> allows the user to estimate emissions from sources relevant to shipyards.
      -- The Calculations Sheet also contains links to Background Sheets that present the factors used to produce emission estimates.
  -- The </a:t>
          </a:r>
          <a:r>
            <a:rPr lang="en-US" cap="none" sz="1000" b="1" i="0" u="none" baseline="0">
              <a:latin typeface="Verdana"/>
              <a:ea typeface="Verdana"/>
              <a:cs typeface="Verdana"/>
            </a:rPr>
            <a:t>Summary Sheet</a:t>
          </a:r>
          <a:r>
            <a:rPr lang="en-US" cap="none" sz="1000" b="0" i="0" u="none" baseline="0">
              <a:latin typeface="Verdana"/>
              <a:ea typeface="Verdana"/>
              <a:cs typeface="Verdana"/>
            </a:rPr>
            <a:t> aggregates the individual source emission estimates to present an emission inventory.
</a:t>
          </a:r>
        </a:p>
      </xdr:txBody>
    </xdr:sp>
    <xdr:clientData/>
  </xdr:twoCellAnchor>
  <xdr:twoCellAnchor>
    <xdr:from>
      <xdr:col>3</xdr:col>
      <xdr:colOff>257175</xdr:colOff>
      <xdr:row>23</xdr:row>
      <xdr:rowOff>104775</xdr:rowOff>
    </xdr:from>
    <xdr:to>
      <xdr:col>13</xdr:col>
      <xdr:colOff>152400</xdr:colOff>
      <xdr:row>31</xdr:row>
      <xdr:rowOff>104775</xdr:rowOff>
    </xdr:to>
    <xdr:grpSp>
      <xdr:nvGrpSpPr>
        <xdr:cNvPr id="18" name="Group 39"/>
        <xdr:cNvGrpSpPr>
          <a:grpSpLocks/>
        </xdr:cNvGrpSpPr>
      </xdr:nvGrpSpPr>
      <xdr:grpSpPr>
        <a:xfrm>
          <a:off x="1676400" y="6010275"/>
          <a:ext cx="5991225" cy="1295400"/>
          <a:chOff x="73" y="251"/>
          <a:chExt cx="629" cy="136"/>
        </a:xfrm>
        <a:solidFill>
          <a:srgbClr val="FFFFFF"/>
        </a:solidFill>
      </xdr:grpSpPr>
      <xdr:sp>
        <xdr:nvSpPr>
          <xdr:cNvPr id="19" name="AutoShape 30"/>
          <xdr:cNvSpPr>
            <a:spLocks/>
          </xdr:cNvSpPr>
        </xdr:nvSpPr>
        <xdr:spPr>
          <a:xfrm>
            <a:off x="73" y="256"/>
            <a:ext cx="105" cy="45"/>
          </a:xfrm>
          <a:prstGeom prst="flowChartAlternate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t>Welcome 
Sheet</a:t>
            </a:r>
          </a:p>
        </xdr:txBody>
      </xdr:sp>
      <xdr:sp>
        <xdr:nvSpPr>
          <xdr:cNvPr id="20" name="AutoShape 31"/>
          <xdr:cNvSpPr>
            <a:spLocks/>
          </xdr:cNvSpPr>
        </xdr:nvSpPr>
        <xdr:spPr>
          <a:xfrm>
            <a:off x="258" y="256"/>
            <a:ext cx="90" cy="45"/>
          </a:xfrm>
          <a:prstGeom prst="flowChartAlternate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t>Introduction
Sheet</a:t>
            </a:r>
          </a:p>
        </xdr:txBody>
      </xdr:sp>
      <xdr:sp>
        <xdr:nvSpPr>
          <xdr:cNvPr id="21" name="AutoShape 32"/>
          <xdr:cNvSpPr>
            <a:spLocks/>
          </xdr:cNvSpPr>
        </xdr:nvSpPr>
        <xdr:spPr>
          <a:xfrm>
            <a:off x="427" y="252"/>
            <a:ext cx="99" cy="47"/>
          </a:xfrm>
          <a:prstGeom prst="flowChartAlternate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t>Calculations 
Sheet</a:t>
            </a:r>
          </a:p>
        </xdr:txBody>
      </xdr:sp>
      <xdr:sp>
        <xdr:nvSpPr>
          <xdr:cNvPr id="22" name="AutoShape 33"/>
          <xdr:cNvSpPr>
            <a:spLocks/>
          </xdr:cNvSpPr>
        </xdr:nvSpPr>
        <xdr:spPr>
          <a:xfrm>
            <a:off x="608" y="251"/>
            <a:ext cx="94" cy="47"/>
          </a:xfrm>
          <a:prstGeom prst="flowChartAlternate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t>Summary Sheet</a:t>
            </a:r>
          </a:p>
        </xdr:txBody>
      </xdr:sp>
      <xdr:sp>
        <xdr:nvSpPr>
          <xdr:cNvPr id="23" name="AutoShape 34"/>
          <xdr:cNvSpPr>
            <a:spLocks/>
          </xdr:cNvSpPr>
        </xdr:nvSpPr>
        <xdr:spPr>
          <a:xfrm>
            <a:off x="197" y="278"/>
            <a:ext cx="45" cy="0"/>
          </a:xfrm>
          <a:prstGeom prst="straightConnector1">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24" name="AutoShape 35"/>
          <xdr:cNvSpPr>
            <a:spLocks/>
          </xdr:cNvSpPr>
        </xdr:nvSpPr>
        <xdr:spPr>
          <a:xfrm>
            <a:off x="364" y="276"/>
            <a:ext cx="45" cy="0"/>
          </a:xfrm>
          <a:prstGeom prst="straightConnector1">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25" name="AutoShape 36"/>
          <xdr:cNvSpPr>
            <a:spLocks/>
          </xdr:cNvSpPr>
        </xdr:nvSpPr>
        <xdr:spPr>
          <a:xfrm>
            <a:off x="546" y="273"/>
            <a:ext cx="38" cy="0"/>
          </a:xfrm>
          <a:prstGeom prst="straightConnector1">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26" name="Line 37"/>
          <xdr:cNvSpPr>
            <a:spLocks/>
          </xdr:cNvSpPr>
        </xdr:nvSpPr>
        <xdr:spPr>
          <a:xfrm>
            <a:off x="475" y="306"/>
            <a:ext cx="0" cy="27"/>
          </a:xfrm>
          <a:prstGeom prst="line">
            <a:avLst/>
          </a:prstGeom>
          <a:noFill/>
          <a:ln w="12700" cmpd="dbl">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27" name="AutoShape 38"/>
          <xdr:cNvSpPr>
            <a:spLocks/>
          </xdr:cNvSpPr>
        </xdr:nvSpPr>
        <xdr:spPr>
          <a:xfrm>
            <a:off x="429" y="339"/>
            <a:ext cx="94" cy="48"/>
          </a:xfrm>
          <a:prstGeom prst="flowChartAlternate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t>Background 
Sheets</a:t>
            </a:r>
          </a:p>
        </xdr:txBody>
      </xdr:sp>
    </xdr:grpSp>
    <xdr:clientData/>
  </xdr:twoCellAnchor>
  <xdr:twoCellAnchor>
    <xdr:from>
      <xdr:col>12</xdr:col>
      <xdr:colOff>542925</xdr:colOff>
      <xdr:row>4</xdr:row>
      <xdr:rowOff>1009650</xdr:rowOff>
    </xdr:from>
    <xdr:to>
      <xdr:col>14</xdr:col>
      <xdr:colOff>47625</xdr:colOff>
      <xdr:row>7</xdr:row>
      <xdr:rowOff>28575</xdr:rowOff>
    </xdr:to>
    <xdr:sp>
      <xdr:nvSpPr>
        <xdr:cNvPr id="28" name="Rectangle 41">
          <a:hlinkClick r:id="rId1"/>
        </xdr:cNvPr>
        <xdr:cNvSpPr>
          <a:spLocks/>
        </xdr:cNvSpPr>
      </xdr:nvSpPr>
      <xdr:spPr>
        <a:xfrm>
          <a:off x="7448550" y="2581275"/>
          <a:ext cx="723900" cy="333375"/>
        </a:xfrm>
        <a:prstGeom prst="roundRect">
          <a:avLst/>
        </a:prstGeom>
        <a:gradFill rotWithShape="1">
          <a:gsLst>
            <a:gs pos="0">
              <a:srgbClr val="7C7CBE"/>
            </a:gs>
            <a:gs pos="100000">
              <a:srgbClr val="000080"/>
            </a:gs>
          </a:gsLst>
          <a:path path="rect">
            <a:fillToRect l="50000" t="50000" r="50000" b="50000"/>
          </a:path>
        </a:gradFill>
        <a:ln w="38100" cmpd="dbl">
          <a:solidFill>
            <a:srgbClr val="000080"/>
          </a:solidFill>
          <a:headEnd type="none"/>
          <a:tailEnd type="none"/>
        </a:ln>
      </xdr:spPr>
      <xdr:txBody>
        <a:bodyPr vertOverflow="clip" wrap="square" anchor="ctr"/>
        <a:p>
          <a:pPr algn="ctr">
            <a:defRPr/>
          </a:pPr>
          <a:r>
            <a:rPr lang="en-US" cap="none" sz="800" b="1" i="0" u="none" baseline="0">
              <a:solidFill>
                <a:srgbClr val="FFFFFF"/>
              </a:solidFill>
              <a:latin typeface="Arial"/>
              <a:ea typeface="Arial"/>
              <a:cs typeface="Arial"/>
            </a:rPr>
            <a:t>GWPs</a:t>
          </a:r>
        </a:p>
      </xdr:txBody>
    </xdr:sp>
    <xdr:clientData/>
  </xdr:twoCellAnchor>
  <xdr:twoCellAnchor>
    <xdr:from>
      <xdr:col>12</xdr:col>
      <xdr:colOff>485775</xdr:colOff>
      <xdr:row>0</xdr:row>
      <xdr:rowOff>95250</xdr:rowOff>
    </xdr:from>
    <xdr:to>
      <xdr:col>14</xdr:col>
      <xdr:colOff>238125</xdr:colOff>
      <xdr:row>0</xdr:row>
      <xdr:rowOff>495300</xdr:rowOff>
    </xdr:to>
    <xdr:sp macro="[0]!GoBackground">
      <xdr:nvSpPr>
        <xdr:cNvPr id="29" name="AutoShape 42">
          <a:hlinkClick r:id="rId2"/>
        </xdr:cNvPr>
        <xdr:cNvSpPr>
          <a:spLocks/>
        </xdr:cNvSpPr>
      </xdr:nvSpPr>
      <xdr:spPr>
        <a:xfrm>
          <a:off x="7391400" y="95250"/>
          <a:ext cx="971550" cy="400050"/>
        </a:xfrm>
        <a:prstGeom prst="homePlate">
          <a:avLst/>
        </a:prstGeom>
        <a:gradFill rotWithShape="1">
          <a:gsLst>
            <a:gs pos="0">
              <a:srgbClr val="F7F7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Calculations Sheet</a:t>
          </a:r>
        </a:p>
      </xdr:txBody>
    </xdr:sp>
    <xdr:clientData/>
  </xdr:twoCellAnchor>
  <xdr:twoCellAnchor>
    <xdr:from>
      <xdr:col>11</xdr:col>
      <xdr:colOff>19050</xdr:colOff>
      <xdr:row>0</xdr:row>
      <xdr:rowOff>95250</xdr:rowOff>
    </xdr:from>
    <xdr:to>
      <xdr:col>12</xdr:col>
      <xdr:colOff>381000</xdr:colOff>
      <xdr:row>0</xdr:row>
      <xdr:rowOff>495300</xdr:rowOff>
    </xdr:to>
    <xdr:sp macro="[0]!GoBackground">
      <xdr:nvSpPr>
        <xdr:cNvPr id="30" name="AutoShape 43">
          <a:hlinkClick r:id="rId3"/>
        </xdr:cNvPr>
        <xdr:cNvSpPr>
          <a:spLocks/>
        </xdr:cNvSpPr>
      </xdr:nvSpPr>
      <xdr:spPr>
        <a:xfrm rot="10800000">
          <a:off x="6315075" y="95250"/>
          <a:ext cx="971550" cy="400050"/>
        </a:xfrm>
        <a:prstGeom prst="homePlate">
          <a:avLst/>
        </a:prstGeom>
        <a:gradFill rotWithShape="1">
          <a:gsLst>
            <a:gs pos="0">
              <a:srgbClr val="F7F7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Welcome Sheet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72</xdr:row>
      <xdr:rowOff>104775</xdr:rowOff>
    </xdr:from>
    <xdr:to>
      <xdr:col>0</xdr:col>
      <xdr:colOff>371475</xdr:colOff>
      <xdr:row>72</xdr:row>
      <xdr:rowOff>352425</xdr:rowOff>
    </xdr:to>
    <xdr:pic>
      <xdr:nvPicPr>
        <xdr:cNvPr id="1" name="ToggleButton1"/>
        <xdr:cNvPicPr preferRelativeResize="1">
          <a:picLocks noChangeAspect="1"/>
        </xdr:cNvPicPr>
      </xdr:nvPicPr>
      <xdr:blipFill>
        <a:blip r:embed="rId1"/>
        <a:stretch>
          <a:fillRect/>
        </a:stretch>
      </xdr:blipFill>
      <xdr:spPr>
        <a:xfrm>
          <a:off x="104775" y="5314950"/>
          <a:ext cx="266700" cy="247650"/>
        </a:xfrm>
        <a:prstGeom prst="rect">
          <a:avLst/>
        </a:prstGeom>
        <a:noFill/>
        <a:ln w="9525" cmpd="sng">
          <a:noFill/>
        </a:ln>
      </xdr:spPr>
    </xdr:pic>
    <xdr:clientData/>
  </xdr:twoCellAnchor>
  <xdr:twoCellAnchor editAs="oneCell">
    <xdr:from>
      <xdr:col>0</xdr:col>
      <xdr:colOff>104775</xdr:colOff>
      <xdr:row>15</xdr:row>
      <xdr:rowOff>104775</xdr:rowOff>
    </xdr:from>
    <xdr:to>
      <xdr:col>0</xdr:col>
      <xdr:colOff>371475</xdr:colOff>
      <xdr:row>15</xdr:row>
      <xdr:rowOff>352425</xdr:rowOff>
    </xdr:to>
    <xdr:pic>
      <xdr:nvPicPr>
        <xdr:cNvPr id="2" name="ToggleButton2"/>
        <xdr:cNvPicPr preferRelativeResize="1">
          <a:picLocks noChangeAspect="1"/>
        </xdr:cNvPicPr>
      </xdr:nvPicPr>
      <xdr:blipFill>
        <a:blip r:embed="rId2"/>
        <a:stretch>
          <a:fillRect/>
        </a:stretch>
      </xdr:blipFill>
      <xdr:spPr>
        <a:xfrm>
          <a:off x="104775" y="4400550"/>
          <a:ext cx="266700" cy="247650"/>
        </a:xfrm>
        <a:prstGeom prst="rect">
          <a:avLst/>
        </a:prstGeom>
        <a:noFill/>
        <a:ln w="9525" cmpd="sng">
          <a:noFill/>
        </a:ln>
      </xdr:spPr>
    </xdr:pic>
    <xdr:clientData/>
  </xdr:twoCellAnchor>
  <xdr:twoCellAnchor editAs="oneCell">
    <xdr:from>
      <xdr:col>0</xdr:col>
      <xdr:colOff>95250</xdr:colOff>
      <xdr:row>55</xdr:row>
      <xdr:rowOff>123825</xdr:rowOff>
    </xdr:from>
    <xdr:to>
      <xdr:col>0</xdr:col>
      <xdr:colOff>361950</xdr:colOff>
      <xdr:row>55</xdr:row>
      <xdr:rowOff>381000</xdr:rowOff>
    </xdr:to>
    <xdr:pic>
      <xdr:nvPicPr>
        <xdr:cNvPr id="3" name="ToggleButton3"/>
        <xdr:cNvPicPr preferRelativeResize="1">
          <a:picLocks noChangeAspect="1"/>
        </xdr:cNvPicPr>
      </xdr:nvPicPr>
      <xdr:blipFill>
        <a:blip r:embed="rId3"/>
        <a:stretch>
          <a:fillRect/>
        </a:stretch>
      </xdr:blipFill>
      <xdr:spPr>
        <a:xfrm>
          <a:off x="95250" y="4886325"/>
          <a:ext cx="266700" cy="257175"/>
        </a:xfrm>
        <a:prstGeom prst="rect">
          <a:avLst/>
        </a:prstGeom>
        <a:noFill/>
        <a:ln w="9525" cmpd="sng">
          <a:noFill/>
        </a:ln>
      </xdr:spPr>
    </xdr:pic>
    <xdr:clientData/>
  </xdr:twoCellAnchor>
  <xdr:twoCellAnchor editAs="oneCell">
    <xdr:from>
      <xdr:col>0</xdr:col>
      <xdr:colOff>104775</xdr:colOff>
      <xdr:row>161</xdr:row>
      <xdr:rowOff>95250</xdr:rowOff>
    </xdr:from>
    <xdr:to>
      <xdr:col>0</xdr:col>
      <xdr:colOff>371475</xdr:colOff>
      <xdr:row>161</xdr:row>
      <xdr:rowOff>352425</xdr:rowOff>
    </xdr:to>
    <xdr:pic>
      <xdr:nvPicPr>
        <xdr:cNvPr id="4" name="ToggleButton4"/>
        <xdr:cNvPicPr preferRelativeResize="1">
          <a:picLocks noChangeAspect="1"/>
        </xdr:cNvPicPr>
      </xdr:nvPicPr>
      <xdr:blipFill>
        <a:blip r:embed="rId4"/>
        <a:stretch>
          <a:fillRect/>
        </a:stretch>
      </xdr:blipFill>
      <xdr:spPr>
        <a:xfrm>
          <a:off x="104775" y="5753100"/>
          <a:ext cx="266700" cy="257175"/>
        </a:xfrm>
        <a:prstGeom prst="rect">
          <a:avLst/>
        </a:prstGeom>
        <a:noFill/>
        <a:ln w="9525" cmpd="sng">
          <a:noFill/>
        </a:ln>
      </xdr:spPr>
    </xdr:pic>
    <xdr:clientData/>
  </xdr:twoCellAnchor>
  <xdr:twoCellAnchor editAs="oneCell">
    <xdr:from>
      <xdr:col>0</xdr:col>
      <xdr:colOff>114300</xdr:colOff>
      <xdr:row>227</xdr:row>
      <xdr:rowOff>85725</xdr:rowOff>
    </xdr:from>
    <xdr:to>
      <xdr:col>0</xdr:col>
      <xdr:colOff>381000</xdr:colOff>
      <xdr:row>227</xdr:row>
      <xdr:rowOff>371475</xdr:rowOff>
    </xdr:to>
    <xdr:pic>
      <xdr:nvPicPr>
        <xdr:cNvPr id="5" name="ToggleButton5"/>
        <xdr:cNvPicPr preferRelativeResize="1">
          <a:picLocks noChangeAspect="1"/>
        </xdr:cNvPicPr>
      </xdr:nvPicPr>
      <xdr:blipFill>
        <a:blip r:embed="rId5"/>
        <a:stretch>
          <a:fillRect/>
        </a:stretch>
      </xdr:blipFill>
      <xdr:spPr>
        <a:xfrm>
          <a:off x="114300" y="6191250"/>
          <a:ext cx="266700" cy="285750"/>
        </a:xfrm>
        <a:prstGeom prst="rect">
          <a:avLst/>
        </a:prstGeom>
        <a:noFill/>
        <a:ln w="9525" cmpd="sng">
          <a:noFill/>
        </a:ln>
      </xdr:spPr>
    </xdr:pic>
    <xdr:clientData/>
  </xdr:twoCellAnchor>
  <xdr:twoCellAnchor>
    <xdr:from>
      <xdr:col>3</xdr:col>
      <xdr:colOff>1171575</xdr:colOff>
      <xdr:row>15</xdr:row>
      <xdr:rowOff>66675</xdr:rowOff>
    </xdr:from>
    <xdr:to>
      <xdr:col>3</xdr:col>
      <xdr:colOff>1895475</xdr:colOff>
      <xdr:row>15</xdr:row>
      <xdr:rowOff>400050</xdr:rowOff>
    </xdr:to>
    <xdr:sp>
      <xdr:nvSpPr>
        <xdr:cNvPr id="6" name="Rectangle 90">
          <a:hlinkClick r:id="rId6"/>
        </xdr:cNvPr>
        <xdr:cNvSpPr>
          <a:spLocks/>
        </xdr:cNvSpPr>
      </xdr:nvSpPr>
      <xdr:spPr>
        <a:xfrm>
          <a:off x="4171950" y="4362450"/>
          <a:ext cx="723900" cy="333375"/>
        </a:xfrm>
        <a:prstGeom prst="round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p>
          <a:pPr algn="ctr">
            <a:defRPr/>
          </a:pPr>
          <a:r>
            <a:rPr lang="en-US" cap="none" sz="800" b="1" i="0" u="none" baseline="0">
              <a:solidFill>
                <a:srgbClr val="000080"/>
              </a:solidFill>
              <a:latin typeface="Arial"/>
              <a:ea typeface="Arial"/>
              <a:cs typeface="Arial"/>
            </a:rPr>
            <a:t>Emission Factors</a:t>
          </a:r>
        </a:p>
      </xdr:txBody>
    </xdr:sp>
    <xdr:clientData/>
  </xdr:twoCellAnchor>
  <xdr:twoCellAnchor>
    <xdr:from>
      <xdr:col>3</xdr:col>
      <xdr:colOff>2009775</xdr:colOff>
      <xdr:row>72</xdr:row>
      <xdr:rowOff>57150</xdr:rowOff>
    </xdr:from>
    <xdr:to>
      <xdr:col>5</xdr:col>
      <xdr:colOff>9525</xdr:colOff>
      <xdr:row>72</xdr:row>
      <xdr:rowOff>390525</xdr:rowOff>
    </xdr:to>
    <xdr:sp>
      <xdr:nvSpPr>
        <xdr:cNvPr id="7" name="Rectangle 97">
          <a:hlinkClick r:id="rId7"/>
        </xdr:cNvPr>
        <xdr:cNvSpPr>
          <a:spLocks/>
        </xdr:cNvSpPr>
      </xdr:nvSpPr>
      <xdr:spPr>
        <a:xfrm>
          <a:off x="5010150" y="5267325"/>
          <a:ext cx="723900" cy="333375"/>
        </a:xfrm>
        <a:prstGeom prst="round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p>
          <a:pPr algn="ctr">
            <a:defRPr/>
          </a:pPr>
          <a:r>
            <a:rPr lang="en-US" cap="none" sz="800" b="1" i="0" u="none" baseline="0">
              <a:solidFill>
                <a:srgbClr val="000080"/>
              </a:solidFill>
              <a:latin typeface="Arial"/>
              <a:ea typeface="Arial"/>
              <a:cs typeface="Arial"/>
            </a:rPr>
            <a:t>Heating Values</a:t>
          </a:r>
        </a:p>
      </xdr:txBody>
    </xdr:sp>
    <xdr:clientData/>
  </xdr:twoCellAnchor>
  <xdr:twoCellAnchor>
    <xdr:from>
      <xdr:col>5</xdr:col>
      <xdr:colOff>123825</xdr:colOff>
      <xdr:row>72</xdr:row>
      <xdr:rowOff>57150</xdr:rowOff>
    </xdr:from>
    <xdr:to>
      <xdr:col>5</xdr:col>
      <xdr:colOff>847725</xdr:colOff>
      <xdr:row>72</xdr:row>
      <xdr:rowOff>390525</xdr:rowOff>
    </xdr:to>
    <xdr:sp>
      <xdr:nvSpPr>
        <xdr:cNvPr id="8" name="Rectangle 98">
          <a:hlinkClick r:id="rId8"/>
        </xdr:cNvPr>
        <xdr:cNvSpPr>
          <a:spLocks/>
        </xdr:cNvSpPr>
      </xdr:nvSpPr>
      <xdr:spPr>
        <a:xfrm>
          <a:off x="5848350" y="5267325"/>
          <a:ext cx="723900" cy="333375"/>
        </a:xfrm>
        <a:prstGeom prst="round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p>
          <a:pPr algn="ctr">
            <a:defRPr/>
          </a:pPr>
          <a:r>
            <a:rPr lang="en-US" cap="none" sz="800" b="1" i="0" u="none" baseline="0">
              <a:solidFill>
                <a:srgbClr val="000080"/>
              </a:solidFill>
              <a:latin typeface="Arial"/>
              <a:ea typeface="Arial"/>
              <a:cs typeface="Arial"/>
            </a:rPr>
            <a:t>Carbon Contents</a:t>
          </a:r>
        </a:p>
      </xdr:txBody>
    </xdr:sp>
    <xdr:clientData/>
  </xdr:twoCellAnchor>
  <xdr:twoCellAnchor>
    <xdr:from>
      <xdr:col>5</xdr:col>
      <xdr:colOff>952500</xdr:colOff>
      <xdr:row>72</xdr:row>
      <xdr:rowOff>57150</xdr:rowOff>
    </xdr:from>
    <xdr:to>
      <xdr:col>6</xdr:col>
      <xdr:colOff>285750</xdr:colOff>
      <xdr:row>72</xdr:row>
      <xdr:rowOff>390525</xdr:rowOff>
    </xdr:to>
    <xdr:sp>
      <xdr:nvSpPr>
        <xdr:cNvPr id="9" name="Rectangle 99">
          <a:hlinkClick r:id="rId9"/>
        </xdr:cNvPr>
        <xdr:cNvSpPr>
          <a:spLocks/>
        </xdr:cNvSpPr>
      </xdr:nvSpPr>
      <xdr:spPr>
        <a:xfrm>
          <a:off x="6677025" y="5267325"/>
          <a:ext cx="723900" cy="333375"/>
        </a:xfrm>
        <a:prstGeom prst="round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p>
          <a:pPr algn="ctr">
            <a:defRPr/>
          </a:pPr>
          <a:r>
            <a:rPr lang="en-US" cap="none" sz="800" b="1" i="0" u="none" baseline="0">
              <a:solidFill>
                <a:srgbClr val="000080"/>
              </a:solidFill>
              <a:latin typeface="Arial"/>
              <a:ea typeface="Arial"/>
              <a:cs typeface="Arial"/>
            </a:rPr>
            <a:t>Oxidation Factors</a:t>
          </a:r>
        </a:p>
      </xdr:txBody>
    </xdr:sp>
    <xdr:clientData/>
  </xdr:twoCellAnchor>
  <xdr:twoCellAnchor>
    <xdr:from>
      <xdr:col>3</xdr:col>
      <xdr:colOff>1171575</xdr:colOff>
      <xdr:row>72</xdr:row>
      <xdr:rowOff>57150</xdr:rowOff>
    </xdr:from>
    <xdr:to>
      <xdr:col>3</xdr:col>
      <xdr:colOff>1895475</xdr:colOff>
      <xdr:row>72</xdr:row>
      <xdr:rowOff>390525</xdr:rowOff>
    </xdr:to>
    <xdr:sp>
      <xdr:nvSpPr>
        <xdr:cNvPr id="10" name="Rectangle 100">
          <a:hlinkClick r:id="rId10"/>
        </xdr:cNvPr>
        <xdr:cNvSpPr>
          <a:spLocks/>
        </xdr:cNvSpPr>
      </xdr:nvSpPr>
      <xdr:spPr>
        <a:xfrm>
          <a:off x="4171950" y="5267325"/>
          <a:ext cx="723900" cy="333375"/>
        </a:xfrm>
        <a:prstGeom prst="round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p>
          <a:pPr algn="ctr">
            <a:defRPr/>
          </a:pPr>
          <a:r>
            <a:rPr lang="en-US" cap="none" sz="800" b="1" i="0" u="none" baseline="0">
              <a:solidFill>
                <a:srgbClr val="000080"/>
              </a:solidFill>
              <a:latin typeface="Arial"/>
              <a:ea typeface="Arial"/>
              <a:cs typeface="Arial"/>
            </a:rPr>
            <a:t>Fuel Densities</a:t>
          </a:r>
        </a:p>
      </xdr:txBody>
    </xdr:sp>
    <xdr:clientData/>
  </xdr:twoCellAnchor>
  <xdr:twoCellAnchor>
    <xdr:from>
      <xdr:col>7</xdr:col>
      <xdr:colOff>95250</xdr:colOff>
      <xdr:row>72</xdr:row>
      <xdr:rowOff>57150</xdr:rowOff>
    </xdr:from>
    <xdr:to>
      <xdr:col>7</xdr:col>
      <xdr:colOff>819150</xdr:colOff>
      <xdr:row>72</xdr:row>
      <xdr:rowOff>390525</xdr:rowOff>
    </xdr:to>
    <xdr:sp>
      <xdr:nvSpPr>
        <xdr:cNvPr id="11" name="Rectangle 101">
          <a:hlinkClick r:id="rId11"/>
        </xdr:cNvPr>
        <xdr:cNvSpPr>
          <a:spLocks/>
        </xdr:cNvSpPr>
      </xdr:nvSpPr>
      <xdr:spPr>
        <a:xfrm>
          <a:off x="7581900" y="5267325"/>
          <a:ext cx="723900" cy="333375"/>
        </a:xfrm>
        <a:prstGeom prst="round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p>
          <a:pPr algn="ctr">
            <a:defRPr/>
          </a:pPr>
          <a:r>
            <a:rPr lang="en-US" cap="none" sz="800" b="1" i="0" u="none" baseline="0">
              <a:solidFill>
                <a:srgbClr val="000080"/>
              </a:solidFill>
              <a:latin typeface="Arial"/>
              <a:ea typeface="Arial"/>
              <a:cs typeface="Arial"/>
            </a:rPr>
            <a:t>Non-CO2 Factors</a:t>
          </a:r>
        </a:p>
      </xdr:txBody>
    </xdr:sp>
    <xdr:clientData/>
  </xdr:twoCellAnchor>
  <xdr:twoCellAnchor>
    <xdr:from>
      <xdr:col>3</xdr:col>
      <xdr:colOff>1171575</xdr:colOff>
      <xdr:row>55</xdr:row>
      <xdr:rowOff>57150</xdr:rowOff>
    </xdr:from>
    <xdr:to>
      <xdr:col>3</xdr:col>
      <xdr:colOff>1895475</xdr:colOff>
      <xdr:row>55</xdr:row>
      <xdr:rowOff>390525</xdr:rowOff>
    </xdr:to>
    <xdr:sp>
      <xdr:nvSpPr>
        <xdr:cNvPr id="12" name="Rectangle 102">
          <a:hlinkClick r:id="rId12"/>
        </xdr:cNvPr>
        <xdr:cNvSpPr>
          <a:spLocks/>
        </xdr:cNvSpPr>
      </xdr:nvSpPr>
      <xdr:spPr>
        <a:xfrm>
          <a:off x="4171950" y="4819650"/>
          <a:ext cx="723900" cy="333375"/>
        </a:xfrm>
        <a:prstGeom prst="round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p>
          <a:pPr algn="ctr">
            <a:defRPr/>
          </a:pPr>
          <a:r>
            <a:rPr lang="en-US" cap="none" sz="800" b="1" i="0" u="none" baseline="0">
              <a:solidFill>
                <a:srgbClr val="000080"/>
              </a:solidFill>
              <a:latin typeface="Arial"/>
              <a:ea typeface="Arial"/>
              <a:cs typeface="Arial"/>
            </a:rPr>
            <a:t>Emission Factors</a:t>
          </a:r>
        </a:p>
      </xdr:txBody>
    </xdr:sp>
    <xdr:clientData/>
  </xdr:twoCellAnchor>
  <xdr:twoCellAnchor>
    <xdr:from>
      <xdr:col>3</xdr:col>
      <xdr:colOff>2009775</xdr:colOff>
      <xdr:row>161</xdr:row>
      <xdr:rowOff>66675</xdr:rowOff>
    </xdr:from>
    <xdr:to>
      <xdr:col>5</xdr:col>
      <xdr:colOff>9525</xdr:colOff>
      <xdr:row>161</xdr:row>
      <xdr:rowOff>400050</xdr:rowOff>
    </xdr:to>
    <xdr:sp>
      <xdr:nvSpPr>
        <xdr:cNvPr id="13" name="Rectangle 103">
          <a:hlinkClick r:id="rId13"/>
        </xdr:cNvPr>
        <xdr:cNvSpPr>
          <a:spLocks/>
        </xdr:cNvSpPr>
      </xdr:nvSpPr>
      <xdr:spPr>
        <a:xfrm>
          <a:off x="5010150" y="5724525"/>
          <a:ext cx="723900" cy="333375"/>
        </a:xfrm>
        <a:prstGeom prst="round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p>
          <a:pPr algn="ctr">
            <a:defRPr/>
          </a:pPr>
          <a:r>
            <a:rPr lang="en-US" cap="none" sz="800" b="1" i="0" u="none" baseline="0">
              <a:solidFill>
                <a:srgbClr val="000080"/>
              </a:solidFill>
              <a:latin typeface="Arial"/>
              <a:ea typeface="Arial"/>
              <a:cs typeface="Arial"/>
            </a:rPr>
            <a:t>Refrigerant Factors</a:t>
          </a:r>
        </a:p>
      </xdr:txBody>
    </xdr:sp>
    <xdr:clientData/>
  </xdr:twoCellAnchor>
  <xdr:twoCellAnchor>
    <xdr:from>
      <xdr:col>5</xdr:col>
      <xdr:colOff>1285875</xdr:colOff>
      <xdr:row>0</xdr:row>
      <xdr:rowOff>171450</xdr:rowOff>
    </xdr:from>
    <xdr:to>
      <xdr:col>7</xdr:col>
      <xdr:colOff>409575</xdr:colOff>
      <xdr:row>0</xdr:row>
      <xdr:rowOff>571500</xdr:rowOff>
    </xdr:to>
    <xdr:sp>
      <xdr:nvSpPr>
        <xdr:cNvPr id="14" name="Rectangle 109">
          <a:hlinkClick r:id="rId14"/>
        </xdr:cNvPr>
        <xdr:cNvSpPr>
          <a:spLocks/>
        </xdr:cNvSpPr>
      </xdr:nvSpPr>
      <xdr:spPr>
        <a:xfrm>
          <a:off x="7010400" y="171450"/>
          <a:ext cx="885825" cy="400050"/>
        </a:xfrm>
        <a:prstGeom prst="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latin typeface="Arial"/>
              <a:ea typeface="Arial"/>
              <a:cs typeface="Arial"/>
            </a:rPr>
            <a:t>Conversion Factors</a:t>
          </a:r>
        </a:p>
      </xdr:txBody>
    </xdr:sp>
    <xdr:clientData/>
  </xdr:twoCellAnchor>
  <xdr:twoCellAnchor>
    <xdr:from>
      <xdr:col>5</xdr:col>
      <xdr:colOff>123825</xdr:colOff>
      <xdr:row>161</xdr:row>
      <xdr:rowOff>57150</xdr:rowOff>
    </xdr:from>
    <xdr:to>
      <xdr:col>5</xdr:col>
      <xdr:colOff>847725</xdr:colOff>
      <xdr:row>161</xdr:row>
      <xdr:rowOff>390525</xdr:rowOff>
    </xdr:to>
    <xdr:sp>
      <xdr:nvSpPr>
        <xdr:cNvPr id="15" name="Rectangle 165">
          <a:hlinkClick r:id="rId15"/>
        </xdr:cNvPr>
        <xdr:cNvSpPr>
          <a:spLocks/>
        </xdr:cNvSpPr>
      </xdr:nvSpPr>
      <xdr:spPr>
        <a:xfrm>
          <a:off x="5848350" y="5715000"/>
          <a:ext cx="723900" cy="333375"/>
        </a:xfrm>
        <a:prstGeom prst="round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p>
          <a:pPr algn="ctr">
            <a:defRPr/>
          </a:pPr>
          <a:r>
            <a:rPr lang="en-US" cap="none" sz="800" b="1" i="0" u="none" baseline="0">
              <a:solidFill>
                <a:srgbClr val="000080"/>
              </a:solidFill>
              <a:latin typeface="Arial"/>
              <a:ea typeface="Arial"/>
              <a:cs typeface="Arial"/>
            </a:rPr>
            <a:t>Product Use Factors</a:t>
          </a:r>
        </a:p>
      </xdr:txBody>
    </xdr:sp>
    <xdr:clientData/>
  </xdr:twoCellAnchor>
  <xdr:twoCellAnchor>
    <xdr:from>
      <xdr:col>7</xdr:col>
      <xdr:colOff>552450</xdr:colOff>
      <xdr:row>0</xdr:row>
      <xdr:rowOff>171450</xdr:rowOff>
    </xdr:from>
    <xdr:to>
      <xdr:col>8</xdr:col>
      <xdr:colOff>85725</xdr:colOff>
      <xdr:row>0</xdr:row>
      <xdr:rowOff>571500</xdr:rowOff>
    </xdr:to>
    <xdr:sp macro="[0]!GoBackground">
      <xdr:nvSpPr>
        <xdr:cNvPr id="16" name="AutoShape 173">
          <a:hlinkClick r:id="rId16"/>
        </xdr:cNvPr>
        <xdr:cNvSpPr>
          <a:spLocks/>
        </xdr:cNvSpPr>
      </xdr:nvSpPr>
      <xdr:spPr>
        <a:xfrm>
          <a:off x="8039100" y="171450"/>
          <a:ext cx="971550" cy="400050"/>
        </a:xfrm>
        <a:prstGeom prst="homePlate">
          <a:avLst/>
        </a:prstGeom>
        <a:gradFill rotWithShape="1">
          <a:gsLst>
            <a:gs pos="0">
              <a:srgbClr val="E6E6FF"/>
            </a:gs>
            <a:gs pos="100000">
              <a:srgbClr val="9999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Summary Sheet</a:t>
          </a:r>
        </a:p>
      </xdr:txBody>
    </xdr:sp>
    <xdr:clientData/>
  </xdr:twoCellAnchor>
  <xdr:twoCellAnchor>
    <xdr:from>
      <xdr:col>5</xdr:col>
      <xdr:colOff>190500</xdr:colOff>
      <xdr:row>0</xdr:row>
      <xdr:rowOff>171450</xdr:rowOff>
    </xdr:from>
    <xdr:to>
      <xdr:col>5</xdr:col>
      <xdr:colOff>1162050</xdr:colOff>
      <xdr:row>0</xdr:row>
      <xdr:rowOff>571500</xdr:rowOff>
    </xdr:to>
    <xdr:sp macro="[0]!GoBackground">
      <xdr:nvSpPr>
        <xdr:cNvPr id="17" name="AutoShape 174">
          <a:hlinkClick r:id="rId17"/>
        </xdr:cNvPr>
        <xdr:cNvSpPr>
          <a:spLocks/>
        </xdr:cNvSpPr>
      </xdr:nvSpPr>
      <xdr:spPr>
        <a:xfrm rot="10800000">
          <a:off x="5915025" y="171450"/>
          <a:ext cx="971550" cy="400050"/>
        </a:xfrm>
        <a:prstGeom prst="homePlate">
          <a:avLst/>
        </a:prstGeom>
        <a:gradFill rotWithShape="1">
          <a:gsLst>
            <a:gs pos="0">
              <a:srgbClr val="E6E6FF"/>
            </a:gs>
            <a:gs pos="100000">
              <a:srgbClr val="9999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Introduction Sheet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xdr:row>
      <xdr:rowOff>152400</xdr:rowOff>
    </xdr:from>
    <xdr:to>
      <xdr:col>15</xdr:col>
      <xdr:colOff>400050</xdr:colOff>
      <xdr:row>21</xdr:row>
      <xdr:rowOff>104775</xdr:rowOff>
    </xdr:to>
    <xdr:graphicFrame>
      <xdr:nvGraphicFramePr>
        <xdr:cNvPr id="1" name="Chart 1"/>
        <xdr:cNvGraphicFramePr/>
      </xdr:nvGraphicFramePr>
      <xdr:xfrm>
        <a:off x="6810375" y="1114425"/>
        <a:ext cx="4667250" cy="3286125"/>
      </xdr:xfrm>
      <a:graphic>
        <a:graphicData uri="http://schemas.openxmlformats.org/drawingml/2006/chart">
          <c:chart xmlns:c="http://schemas.openxmlformats.org/drawingml/2006/chart" r:id="rId1"/>
        </a:graphicData>
      </a:graphic>
    </xdr:graphicFrame>
    <xdr:clientData/>
  </xdr:twoCellAnchor>
  <xdr:twoCellAnchor>
    <xdr:from>
      <xdr:col>16</xdr:col>
      <xdr:colOff>104775</xdr:colOff>
      <xdr:row>3</xdr:row>
      <xdr:rowOff>0</xdr:rowOff>
    </xdr:from>
    <xdr:to>
      <xdr:col>23</xdr:col>
      <xdr:colOff>523875</xdr:colOff>
      <xdr:row>21</xdr:row>
      <xdr:rowOff>85725</xdr:rowOff>
    </xdr:to>
    <xdr:graphicFrame>
      <xdr:nvGraphicFramePr>
        <xdr:cNvPr id="2" name="Chart 2"/>
        <xdr:cNvGraphicFramePr/>
      </xdr:nvGraphicFramePr>
      <xdr:xfrm>
        <a:off x="11791950" y="1133475"/>
        <a:ext cx="4686300" cy="324802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22</xdr:row>
      <xdr:rowOff>85725</xdr:rowOff>
    </xdr:from>
    <xdr:to>
      <xdr:col>15</xdr:col>
      <xdr:colOff>409575</xdr:colOff>
      <xdr:row>41</xdr:row>
      <xdr:rowOff>104775</xdr:rowOff>
    </xdr:to>
    <xdr:graphicFrame>
      <xdr:nvGraphicFramePr>
        <xdr:cNvPr id="3" name="Chart 3"/>
        <xdr:cNvGraphicFramePr/>
      </xdr:nvGraphicFramePr>
      <xdr:xfrm>
        <a:off x="6810375" y="4581525"/>
        <a:ext cx="4676775" cy="348615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42</xdr:row>
      <xdr:rowOff>66675</xdr:rowOff>
    </xdr:from>
    <xdr:to>
      <xdr:col>15</xdr:col>
      <xdr:colOff>390525</xdr:colOff>
      <xdr:row>62</xdr:row>
      <xdr:rowOff>123825</xdr:rowOff>
    </xdr:to>
    <xdr:graphicFrame>
      <xdr:nvGraphicFramePr>
        <xdr:cNvPr id="4" name="Chart 5"/>
        <xdr:cNvGraphicFramePr/>
      </xdr:nvGraphicFramePr>
      <xdr:xfrm>
        <a:off x="6829425" y="8191500"/>
        <a:ext cx="4638675" cy="3295650"/>
      </xdr:xfrm>
      <a:graphic>
        <a:graphicData uri="http://schemas.openxmlformats.org/drawingml/2006/chart">
          <c:chart xmlns:c="http://schemas.openxmlformats.org/drawingml/2006/chart" r:id="rId4"/>
        </a:graphicData>
      </a:graphic>
    </xdr:graphicFrame>
    <xdr:clientData/>
  </xdr:twoCellAnchor>
  <xdr:twoCellAnchor>
    <xdr:from>
      <xdr:col>16</xdr:col>
      <xdr:colOff>123825</xdr:colOff>
      <xdr:row>22</xdr:row>
      <xdr:rowOff>76200</xdr:rowOff>
    </xdr:from>
    <xdr:to>
      <xdr:col>23</xdr:col>
      <xdr:colOff>561975</xdr:colOff>
      <xdr:row>41</xdr:row>
      <xdr:rowOff>76200</xdr:rowOff>
    </xdr:to>
    <xdr:graphicFrame>
      <xdr:nvGraphicFramePr>
        <xdr:cNvPr id="5" name="Chart 6"/>
        <xdr:cNvGraphicFramePr/>
      </xdr:nvGraphicFramePr>
      <xdr:xfrm>
        <a:off x="11811000" y="4572000"/>
        <a:ext cx="4705350" cy="3467100"/>
      </xdr:xfrm>
      <a:graphic>
        <a:graphicData uri="http://schemas.openxmlformats.org/drawingml/2006/chart">
          <c:chart xmlns:c="http://schemas.openxmlformats.org/drawingml/2006/chart" r:id="rId5"/>
        </a:graphicData>
      </a:graphic>
    </xdr:graphicFrame>
    <xdr:clientData/>
  </xdr:twoCellAnchor>
  <xdr:twoCellAnchor>
    <xdr:from>
      <xdr:col>0</xdr:col>
      <xdr:colOff>161925</xdr:colOff>
      <xdr:row>34</xdr:row>
      <xdr:rowOff>28575</xdr:rowOff>
    </xdr:from>
    <xdr:to>
      <xdr:col>7</xdr:col>
      <xdr:colOff>447675</xdr:colOff>
      <xdr:row>62</xdr:row>
      <xdr:rowOff>114300</xdr:rowOff>
    </xdr:to>
    <xdr:graphicFrame>
      <xdr:nvGraphicFramePr>
        <xdr:cNvPr id="6" name="Chart 7"/>
        <xdr:cNvGraphicFramePr/>
      </xdr:nvGraphicFramePr>
      <xdr:xfrm>
        <a:off x="161925" y="6858000"/>
        <a:ext cx="6486525" cy="4619625"/>
      </xdr:xfrm>
      <a:graphic>
        <a:graphicData uri="http://schemas.openxmlformats.org/drawingml/2006/chart">
          <c:chart xmlns:c="http://schemas.openxmlformats.org/drawingml/2006/chart" r:id="rId6"/>
        </a:graphicData>
      </a:graphic>
    </xdr:graphicFrame>
    <xdr:clientData/>
  </xdr:twoCellAnchor>
  <xdr:twoCellAnchor>
    <xdr:from>
      <xdr:col>10</xdr:col>
      <xdr:colOff>276225</xdr:colOff>
      <xdr:row>0</xdr:row>
      <xdr:rowOff>142875</xdr:rowOff>
    </xdr:from>
    <xdr:to>
      <xdr:col>12</xdr:col>
      <xdr:colOff>266700</xdr:colOff>
      <xdr:row>0</xdr:row>
      <xdr:rowOff>619125</xdr:rowOff>
    </xdr:to>
    <xdr:sp macro="[0]!GoCalculations">
      <xdr:nvSpPr>
        <xdr:cNvPr id="7" name="AutoShape 15"/>
        <xdr:cNvSpPr>
          <a:spLocks/>
        </xdr:cNvSpPr>
      </xdr:nvSpPr>
      <xdr:spPr>
        <a:xfrm flipH="1">
          <a:off x="8305800" y="142875"/>
          <a:ext cx="1209675" cy="476250"/>
        </a:xfrm>
        <a:prstGeom prst="homePlate">
          <a:avLst/>
        </a:prstGeom>
        <a:gradFill rotWithShape="1">
          <a:gsLst>
            <a:gs pos="0">
              <a:srgbClr val="F5F5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1000" b="1" i="0" u="none" baseline="0">
              <a:solidFill>
                <a:srgbClr val="000080"/>
              </a:solidFill>
            </a:rPr>
            <a:t>Calculations Sheet</a:t>
          </a:r>
        </a:p>
      </xdr:txBody>
    </xdr:sp>
    <xdr:clientData/>
  </xdr:twoCellAnchor>
  <xdr:twoCellAnchor>
    <xdr:from>
      <xdr:col>16</xdr:col>
      <xdr:colOff>123825</xdr:colOff>
      <xdr:row>42</xdr:row>
      <xdr:rowOff>66675</xdr:rowOff>
    </xdr:from>
    <xdr:to>
      <xdr:col>23</xdr:col>
      <xdr:colOff>561975</xdr:colOff>
      <xdr:row>62</xdr:row>
      <xdr:rowOff>152400</xdr:rowOff>
    </xdr:to>
    <xdr:graphicFrame>
      <xdr:nvGraphicFramePr>
        <xdr:cNvPr id="8" name="Chart 58"/>
        <xdr:cNvGraphicFramePr/>
      </xdr:nvGraphicFramePr>
      <xdr:xfrm>
        <a:off x="11811000" y="8191500"/>
        <a:ext cx="4705350" cy="3324225"/>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0</xdr:row>
      <xdr:rowOff>66675</xdr:rowOff>
    </xdr:from>
    <xdr:to>
      <xdr:col>11</xdr:col>
      <xdr:colOff>9525</xdr:colOff>
      <xdr:row>0</xdr:row>
      <xdr:rowOff>466725</xdr:rowOff>
    </xdr:to>
    <xdr:sp macro="[0]!GoBackground">
      <xdr:nvSpPr>
        <xdr:cNvPr id="1" name="AutoShape 1">
          <a:hlinkClick r:id="rId1"/>
        </xdr:cNvPr>
        <xdr:cNvSpPr>
          <a:spLocks/>
        </xdr:cNvSpPr>
      </xdr:nvSpPr>
      <xdr:spPr>
        <a:xfrm flipH="1">
          <a:off x="7096125" y="66675"/>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0</xdr:row>
      <xdr:rowOff>57150</xdr:rowOff>
    </xdr:from>
    <xdr:to>
      <xdr:col>9</xdr:col>
      <xdr:colOff>657225</xdr:colOff>
      <xdr:row>0</xdr:row>
      <xdr:rowOff>457200</xdr:rowOff>
    </xdr:to>
    <xdr:sp macro="[0]!GoBackground">
      <xdr:nvSpPr>
        <xdr:cNvPr id="1" name="AutoShape 2">
          <a:hlinkClick r:id="rId1"/>
        </xdr:cNvPr>
        <xdr:cNvSpPr>
          <a:spLocks/>
        </xdr:cNvSpPr>
      </xdr:nvSpPr>
      <xdr:spPr>
        <a:xfrm flipH="1">
          <a:off x="6400800" y="57150"/>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0</xdr:row>
      <xdr:rowOff>95250</xdr:rowOff>
    </xdr:from>
    <xdr:to>
      <xdr:col>8</xdr:col>
      <xdr:colOff>0</xdr:colOff>
      <xdr:row>1</xdr:row>
      <xdr:rowOff>152400</xdr:rowOff>
    </xdr:to>
    <xdr:sp macro="[0]!GoBackground">
      <xdr:nvSpPr>
        <xdr:cNvPr id="1" name="AutoShape 2">
          <a:hlinkClick r:id="rId1"/>
        </xdr:cNvPr>
        <xdr:cNvSpPr>
          <a:spLocks/>
        </xdr:cNvSpPr>
      </xdr:nvSpPr>
      <xdr:spPr>
        <a:xfrm flipH="1">
          <a:off x="5695950" y="95250"/>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0</xdr:row>
      <xdr:rowOff>95250</xdr:rowOff>
    </xdr:from>
    <xdr:to>
      <xdr:col>8</xdr:col>
      <xdr:colOff>571500</xdr:colOff>
      <xdr:row>1</xdr:row>
      <xdr:rowOff>152400</xdr:rowOff>
    </xdr:to>
    <xdr:sp macro="[0]!GoBackground">
      <xdr:nvSpPr>
        <xdr:cNvPr id="1" name="AutoShape 2">
          <a:hlinkClick r:id="rId1"/>
        </xdr:cNvPr>
        <xdr:cNvSpPr>
          <a:spLocks/>
        </xdr:cNvSpPr>
      </xdr:nvSpPr>
      <xdr:spPr>
        <a:xfrm flipH="1">
          <a:off x="5905500" y="95250"/>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0</xdr:row>
      <xdr:rowOff>219075</xdr:rowOff>
    </xdr:from>
    <xdr:to>
      <xdr:col>7</xdr:col>
      <xdr:colOff>600075</xdr:colOff>
      <xdr:row>1</xdr:row>
      <xdr:rowOff>219075</xdr:rowOff>
    </xdr:to>
    <xdr:sp macro="[0]!GoBackground">
      <xdr:nvSpPr>
        <xdr:cNvPr id="1" name="AutoShape 2">
          <a:hlinkClick r:id="rId1"/>
        </xdr:cNvPr>
        <xdr:cNvSpPr>
          <a:spLocks/>
        </xdr:cNvSpPr>
      </xdr:nvSpPr>
      <xdr:spPr>
        <a:xfrm flipH="1">
          <a:off x="6162675" y="219075"/>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OMMON\CLIMATE\GHG_m&amp;r\Evaluation_Road%20Test%20Draft\Revised%20Tools\Final%20Versions\Mobile\Final\Final(after%20KPMG-MichaelG%20Review)\NextFinal\MOBILE_FinalWorksheet(10.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mgillenwater\Local%20Settings\Temp\JPN%20-%202004%20-%201996%20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ATEN\INVENTARE\Mappe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ghgprotocol.org/TEMP\WRI\WRI%20calculation%20tools%20-%20mobil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Y:\Documents%20and%20Settings\mgillenwater\Local%20Settings\Temp\JPN%20-%202004%20-%201996%20v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Y:\DATEN\INVENTARE\Mapp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Introduction"/>
      <sheetName val="Emissions based on fuel use"/>
      <sheetName val="Emissions based on distance"/>
      <sheetName val="Reference"/>
      <sheetName val="FAQ"/>
      <sheetName val="Macros"/>
    </sheetNames>
    <sheetDataSet>
      <sheetData sheetId="4">
        <row r="196">
          <cell r="E196">
            <v>4</v>
          </cell>
          <cell r="F196">
            <v>2.2541567500000004</v>
          </cell>
          <cell r="G196">
            <v>2254.1567500000006</v>
          </cell>
          <cell r="H196">
            <v>1.6093</v>
          </cell>
          <cell r="I196">
            <v>1400.7063630149758</v>
          </cell>
        </row>
        <row r="197">
          <cell r="E197">
            <v>5</v>
          </cell>
          <cell r="F197">
            <v>1.8033254000000003</v>
          </cell>
          <cell r="G197">
            <v>1803.3254000000004</v>
          </cell>
          <cell r="H197">
            <v>1.6093</v>
          </cell>
          <cell r="I197">
            <v>1120.5650904119807</v>
          </cell>
        </row>
        <row r="198">
          <cell r="E198">
            <v>6</v>
          </cell>
          <cell r="F198">
            <v>1.502771166666667</v>
          </cell>
          <cell r="G198">
            <v>1502.7711666666669</v>
          </cell>
          <cell r="H198">
            <v>1.6093</v>
          </cell>
          <cell r="I198">
            <v>933.8042420099838</v>
          </cell>
        </row>
        <row r="199">
          <cell r="E199">
            <v>7</v>
          </cell>
          <cell r="F199">
            <v>1.2880895714285716</v>
          </cell>
          <cell r="G199">
            <v>1288.0895714285716</v>
          </cell>
          <cell r="H199">
            <v>1.6093</v>
          </cell>
          <cell r="I199">
            <v>800.4036360085576</v>
          </cell>
        </row>
        <row r="200">
          <cell r="E200">
            <v>8</v>
          </cell>
          <cell r="F200">
            <v>1.1270783750000002</v>
          </cell>
          <cell r="G200">
            <v>1127.0783750000003</v>
          </cell>
          <cell r="H200">
            <v>1.6093</v>
          </cell>
          <cell r="I200">
            <v>700.3531815074879</v>
          </cell>
        </row>
        <row r="201">
          <cell r="E201">
            <v>9</v>
          </cell>
          <cell r="F201">
            <v>1.0018474444444445</v>
          </cell>
          <cell r="G201">
            <v>1001.8474444444445</v>
          </cell>
          <cell r="H201">
            <v>1.6093</v>
          </cell>
          <cell r="I201">
            <v>622.5361613399891</v>
          </cell>
        </row>
        <row r="202">
          <cell r="E202">
            <v>10</v>
          </cell>
          <cell r="F202">
            <v>0.9016627000000002</v>
          </cell>
          <cell r="G202">
            <v>901.6627000000002</v>
          </cell>
          <cell r="H202">
            <v>1.6093</v>
          </cell>
          <cell r="I202">
            <v>560.2825452059903</v>
          </cell>
        </row>
        <row r="203">
          <cell r="E203">
            <v>11</v>
          </cell>
          <cell r="F203">
            <v>0.8196933636363638</v>
          </cell>
          <cell r="G203">
            <v>819.6933636363638</v>
          </cell>
          <cell r="H203">
            <v>1.6093</v>
          </cell>
          <cell r="I203">
            <v>509.3477683690821</v>
          </cell>
        </row>
        <row r="204">
          <cell r="E204">
            <v>12</v>
          </cell>
          <cell r="F204">
            <v>0.7513855833333335</v>
          </cell>
          <cell r="G204">
            <v>751.3855833333334</v>
          </cell>
          <cell r="H204">
            <v>1.6093</v>
          </cell>
          <cell r="I204">
            <v>466.9021210049919</v>
          </cell>
        </row>
        <row r="205">
          <cell r="E205">
            <v>13</v>
          </cell>
          <cell r="F205">
            <v>0.6935866923076924</v>
          </cell>
          <cell r="G205">
            <v>693.5866923076925</v>
          </cell>
          <cell r="H205">
            <v>1.6093</v>
          </cell>
          <cell r="I205">
            <v>430.9865732353772</v>
          </cell>
        </row>
        <row r="206">
          <cell r="E206">
            <v>14</v>
          </cell>
          <cell r="F206">
            <v>0.6440447857142858</v>
          </cell>
          <cell r="G206">
            <v>644.0447857142858</v>
          </cell>
          <cell r="H206">
            <v>1.6093</v>
          </cell>
          <cell r="I206">
            <v>400.2018180042788</v>
          </cell>
        </row>
        <row r="207">
          <cell r="E207">
            <v>15</v>
          </cell>
          <cell r="F207">
            <v>0.6011084666666667</v>
          </cell>
          <cell r="G207">
            <v>601.1084666666667</v>
          </cell>
          <cell r="H207">
            <v>1.6093</v>
          </cell>
          <cell r="I207">
            <v>373.52169680399345</v>
          </cell>
        </row>
        <row r="208">
          <cell r="E208">
            <v>16</v>
          </cell>
          <cell r="F208">
            <v>0.5635391875000001</v>
          </cell>
          <cell r="G208">
            <v>563.5391875000001</v>
          </cell>
          <cell r="H208">
            <v>1.6093</v>
          </cell>
          <cell r="I208">
            <v>350.17659075374394</v>
          </cell>
        </row>
        <row r="209">
          <cell r="E209">
            <v>17</v>
          </cell>
          <cell r="F209">
            <v>0.5303898235294119</v>
          </cell>
          <cell r="G209">
            <v>530.3898235294118</v>
          </cell>
          <cell r="H209">
            <v>1.6093</v>
          </cell>
          <cell r="I209">
            <v>329.5779677682296</v>
          </cell>
        </row>
        <row r="210">
          <cell r="E210">
            <v>18</v>
          </cell>
          <cell r="F210">
            <v>0.5009237222222223</v>
          </cell>
          <cell r="G210">
            <v>500.92372222222224</v>
          </cell>
          <cell r="H210">
            <v>1.6093</v>
          </cell>
          <cell r="I210">
            <v>311.26808066999456</v>
          </cell>
        </row>
        <row r="211">
          <cell r="E211">
            <v>19</v>
          </cell>
          <cell r="F211">
            <v>0.47455931578947375</v>
          </cell>
          <cell r="G211">
            <v>474.55931578947377</v>
          </cell>
          <cell r="H211">
            <v>1.6093</v>
          </cell>
          <cell r="I211">
            <v>294.88555010841594</v>
          </cell>
        </row>
        <row r="212">
          <cell r="E212">
            <v>20</v>
          </cell>
          <cell r="F212">
            <v>0.4508313500000001</v>
          </cell>
          <cell r="G212">
            <v>450.8313500000001</v>
          </cell>
          <cell r="H212">
            <v>1.6093</v>
          </cell>
          <cell r="I212">
            <v>280.1412726029952</v>
          </cell>
        </row>
        <row r="213">
          <cell r="E213">
            <v>21</v>
          </cell>
          <cell r="F213">
            <v>0.42936319047619054</v>
          </cell>
          <cell r="G213">
            <v>429.36319047619054</v>
          </cell>
          <cell r="H213">
            <v>1.6093</v>
          </cell>
          <cell r="I213">
            <v>266.80121200285254</v>
          </cell>
        </row>
        <row r="214">
          <cell r="E214">
            <v>22</v>
          </cell>
          <cell r="F214">
            <v>0.4098466818181819</v>
          </cell>
          <cell r="G214">
            <v>409.8466818181819</v>
          </cell>
          <cell r="H214">
            <v>1.6093</v>
          </cell>
          <cell r="I214">
            <v>254.67388418454104</v>
          </cell>
        </row>
        <row r="215">
          <cell r="E215">
            <v>23</v>
          </cell>
          <cell r="F215">
            <v>0.3920272608695653</v>
          </cell>
          <cell r="G215">
            <v>392.0272608695653</v>
          </cell>
          <cell r="H215">
            <v>1.6093</v>
          </cell>
          <cell r="I215">
            <v>243.60110661130014</v>
          </cell>
        </row>
        <row r="216">
          <cell r="E216">
            <v>24</v>
          </cell>
          <cell r="F216">
            <v>0.37569279166666675</v>
          </cell>
          <cell r="G216">
            <v>375.6927916666667</v>
          </cell>
          <cell r="H216">
            <v>1.6093</v>
          </cell>
          <cell r="I216">
            <v>233.45106050249595</v>
          </cell>
        </row>
        <row r="217">
          <cell r="E217">
            <v>25</v>
          </cell>
          <cell r="F217">
            <v>0.3606650800000001</v>
          </cell>
          <cell r="G217">
            <v>360.6650800000001</v>
          </cell>
          <cell r="H217">
            <v>1.6093</v>
          </cell>
          <cell r="I217">
            <v>224.11301808239614</v>
          </cell>
        </row>
        <row r="218">
          <cell r="E218">
            <v>26</v>
          </cell>
          <cell r="F218">
            <v>0.3467933461538462</v>
          </cell>
          <cell r="G218">
            <v>346.79334615384624</v>
          </cell>
          <cell r="H218">
            <v>1.6093</v>
          </cell>
          <cell r="I218">
            <v>215.4932866176886</v>
          </cell>
        </row>
        <row r="219">
          <cell r="E219">
            <v>27</v>
          </cell>
          <cell r="F219">
            <v>0.3339491481481482</v>
          </cell>
          <cell r="G219">
            <v>333.9491481481482</v>
          </cell>
          <cell r="H219">
            <v>1.6093</v>
          </cell>
          <cell r="I219">
            <v>207.5120537799964</v>
          </cell>
        </row>
        <row r="220">
          <cell r="E220">
            <v>28</v>
          </cell>
          <cell r="F220">
            <v>0.3220223928571429</v>
          </cell>
          <cell r="G220">
            <v>322.0223928571429</v>
          </cell>
          <cell r="H220">
            <v>1.6093</v>
          </cell>
          <cell r="I220">
            <v>200.1009090021394</v>
          </cell>
        </row>
        <row r="221">
          <cell r="E221">
            <v>29</v>
          </cell>
          <cell r="F221">
            <v>0.31091817241379316</v>
          </cell>
          <cell r="G221">
            <v>310.9181724137932</v>
          </cell>
          <cell r="H221">
            <v>1.6093</v>
          </cell>
          <cell r="I221">
            <v>193.20087765723804</v>
          </cell>
        </row>
        <row r="222">
          <cell r="E222">
            <v>30</v>
          </cell>
          <cell r="F222">
            <v>0.30055423333333336</v>
          </cell>
          <cell r="G222">
            <v>300.55423333333334</v>
          </cell>
          <cell r="H222">
            <v>1.6093</v>
          </cell>
          <cell r="I222">
            <v>186.76084840199672</v>
          </cell>
        </row>
        <row r="223">
          <cell r="E223">
            <v>31</v>
          </cell>
          <cell r="F223">
            <v>0.29085893548387104</v>
          </cell>
          <cell r="G223">
            <v>290.85893548387105</v>
          </cell>
          <cell r="H223">
            <v>1.6093</v>
          </cell>
          <cell r="I223">
            <v>180.7363049051582</v>
          </cell>
        </row>
        <row r="224">
          <cell r="E224">
            <v>32</v>
          </cell>
          <cell r="F224">
            <v>0.28176959375000005</v>
          </cell>
          <cell r="G224">
            <v>281.76959375000007</v>
          </cell>
          <cell r="H224">
            <v>1.6093</v>
          </cell>
          <cell r="I224">
            <v>175.08829537687197</v>
          </cell>
        </row>
        <row r="225">
          <cell r="E225">
            <v>33</v>
          </cell>
          <cell r="F225">
            <v>0.27323112121212123</v>
          </cell>
          <cell r="G225">
            <v>273.23112121212125</v>
          </cell>
          <cell r="H225">
            <v>1.6093</v>
          </cell>
          <cell r="I225">
            <v>169.78258945636068</v>
          </cell>
        </row>
        <row r="226">
          <cell r="E226">
            <v>34</v>
          </cell>
          <cell r="F226">
            <v>0.26519491176470594</v>
          </cell>
          <cell r="G226">
            <v>265.1949117647059</v>
          </cell>
          <cell r="H226">
            <v>1.6093</v>
          </cell>
          <cell r="I226">
            <v>164.7889838841148</v>
          </cell>
        </row>
        <row r="227">
          <cell r="E227">
            <v>35</v>
          </cell>
          <cell r="F227">
            <v>0.25761791428571434</v>
          </cell>
          <cell r="G227">
            <v>257.61791428571433</v>
          </cell>
          <cell r="H227">
            <v>1.6093</v>
          </cell>
          <cell r="I227">
            <v>160.0807272017115</v>
          </cell>
        </row>
        <row r="228">
          <cell r="E228">
            <v>36</v>
          </cell>
          <cell r="F228">
            <v>0.25046186111111113</v>
          </cell>
          <cell r="G228">
            <v>250.46186111111112</v>
          </cell>
          <cell r="H228">
            <v>1.6093</v>
          </cell>
          <cell r="I228">
            <v>155.63404033499728</v>
          </cell>
        </row>
        <row r="229">
          <cell r="E229">
            <v>37</v>
          </cell>
          <cell r="F229">
            <v>0.24369262162162167</v>
          </cell>
          <cell r="G229">
            <v>243.69262162162167</v>
          </cell>
          <cell r="H229">
            <v>1.6093</v>
          </cell>
          <cell r="I229">
            <v>151.4277149205379</v>
          </cell>
        </row>
        <row r="230">
          <cell r="E230">
            <v>38</v>
          </cell>
          <cell r="F230">
            <v>0.23727965789473687</v>
          </cell>
          <cell r="G230">
            <v>237.27965789473689</v>
          </cell>
          <cell r="H230">
            <v>1.6093</v>
          </cell>
          <cell r="I230">
            <v>147.44277505420797</v>
          </cell>
        </row>
        <row r="231">
          <cell r="E231">
            <v>39</v>
          </cell>
          <cell r="F231">
            <v>0.23119556410256414</v>
          </cell>
          <cell r="G231">
            <v>231.19556410256413</v>
          </cell>
          <cell r="H231">
            <v>1.6093</v>
          </cell>
          <cell r="I231">
            <v>143.66219107845905</v>
          </cell>
        </row>
        <row r="232">
          <cell r="E232">
            <v>40</v>
          </cell>
          <cell r="F232">
            <v>0.22541567500000004</v>
          </cell>
          <cell r="G232">
            <v>225.41567500000005</v>
          </cell>
          <cell r="H232">
            <v>1.6093</v>
          </cell>
          <cell r="I232">
            <v>140.0706363014976</v>
          </cell>
        </row>
        <row r="233">
          <cell r="E233">
            <v>41</v>
          </cell>
          <cell r="F233">
            <v>0.2199177317073171</v>
          </cell>
          <cell r="G233">
            <v>219.9177317073171</v>
          </cell>
          <cell r="H233">
            <v>1.6093</v>
          </cell>
          <cell r="I233">
            <v>136.6542793185342</v>
          </cell>
        </row>
        <row r="234">
          <cell r="E234">
            <v>42</v>
          </cell>
          <cell r="F234">
            <v>0.21468159523809527</v>
          </cell>
          <cell r="G234">
            <v>214.68159523809527</v>
          </cell>
          <cell r="H234">
            <v>1.6093</v>
          </cell>
          <cell r="I234">
            <v>133.40060600142627</v>
          </cell>
        </row>
        <row r="235">
          <cell r="E235">
            <v>43</v>
          </cell>
          <cell r="F235">
            <v>0.20968900000000004</v>
          </cell>
          <cell r="G235">
            <v>209.68900000000005</v>
          </cell>
          <cell r="H235">
            <v>1.6093</v>
          </cell>
          <cell r="I235">
            <v>130.2982663269745</v>
          </cell>
        </row>
        <row r="236">
          <cell r="E236">
            <v>44</v>
          </cell>
          <cell r="F236">
            <v>0.20492334090909095</v>
          </cell>
          <cell r="G236">
            <v>204.92334090909094</v>
          </cell>
          <cell r="H236">
            <v>1.6093</v>
          </cell>
          <cell r="I236">
            <v>127.33694209227052</v>
          </cell>
        </row>
        <row r="237">
          <cell r="E237">
            <v>45</v>
          </cell>
          <cell r="F237">
            <v>0.20036948888888892</v>
          </cell>
          <cell r="G237">
            <v>200.36948888888892</v>
          </cell>
          <cell r="H237">
            <v>1.6093</v>
          </cell>
          <cell r="I237">
            <v>124.50723226799785</v>
          </cell>
        </row>
        <row r="238">
          <cell r="E238">
            <v>46</v>
          </cell>
          <cell r="F238">
            <v>0.19601363043478265</v>
          </cell>
          <cell r="G238">
            <v>196.01363043478264</v>
          </cell>
          <cell r="H238">
            <v>1.6093</v>
          </cell>
          <cell r="I238">
            <v>121.80055330565007</v>
          </cell>
        </row>
        <row r="239">
          <cell r="E239">
            <v>47</v>
          </cell>
          <cell r="F239">
            <v>0.1918431276595745</v>
          </cell>
          <cell r="G239">
            <v>191.84312765957452</v>
          </cell>
          <cell r="H239">
            <v>1.6093</v>
          </cell>
          <cell r="I239">
            <v>119.20905217148731</v>
          </cell>
        </row>
        <row r="240">
          <cell r="E240">
            <v>48</v>
          </cell>
          <cell r="F240">
            <v>0.18784639583333337</v>
          </cell>
          <cell r="G240">
            <v>187.84639583333336</v>
          </cell>
          <cell r="H240">
            <v>1.6093</v>
          </cell>
          <cell r="I240">
            <v>116.72553025124797</v>
          </cell>
        </row>
        <row r="241">
          <cell r="E241">
            <v>49</v>
          </cell>
          <cell r="F241">
            <v>0.1840127959183674</v>
          </cell>
          <cell r="G241">
            <v>184.0127959183674</v>
          </cell>
          <cell r="H241">
            <v>1.6093</v>
          </cell>
          <cell r="I241">
            <v>114.3433765726511</v>
          </cell>
        </row>
        <row r="242">
          <cell r="E242">
            <v>50</v>
          </cell>
          <cell r="F242">
            <v>0.18033254000000004</v>
          </cell>
          <cell r="G242">
            <v>180.33254000000005</v>
          </cell>
          <cell r="H242">
            <v>1.6093</v>
          </cell>
          <cell r="I242">
            <v>112.05650904119807</v>
          </cell>
        </row>
        <row r="243">
          <cell r="E243">
            <v>51</v>
          </cell>
          <cell r="F243">
            <v>0.17679660784313728</v>
          </cell>
          <cell r="G243">
            <v>176.79660784313728</v>
          </cell>
          <cell r="H243">
            <v>1.6093</v>
          </cell>
          <cell r="I243">
            <v>109.85932258940986</v>
          </cell>
        </row>
        <row r="244">
          <cell r="E244">
            <v>52</v>
          </cell>
          <cell r="F244">
            <v>0.1733966730769231</v>
          </cell>
          <cell r="G244">
            <v>173.39667307692312</v>
          </cell>
          <cell r="H244">
            <v>1.6093</v>
          </cell>
          <cell r="I244">
            <v>107.7466433088443</v>
          </cell>
        </row>
        <row r="245">
          <cell r="E245">
            <v>53</v>
          </cell>
          <cell r="F245">
            <v>0.17012503773584908</v>
          </cell>
          <cell r="G245">
            <v>170.12503773584908</v>
          </cell>
          <cell r="H245">
            <v>1.6093</v>
          </cell>
          <cell r="I245">
            <v>105.71368777471514</v>
          </cell>
        </row>
        <row r="246">
          <cell r="E246">
            <v>54</v>
          </cell>
          <cell r="F246">
            <v>0.1669745740740741</v>
          </cell>
          <cell r="G246">
            <v>166.9745740740741</v>
          </cell>
          <cell r="H246">
            <v>1.6093</v>
          </cell>
          <cell r="I246">
            <v>103.7560268899982</v>
          </cell>
        </row>
        <row r="247">
          <cell r="E247">
            <v>55</v>
          </cell>
          <cell r="F247">
            <v>0.16393867272727275</v>
          </cell>
          <cell r="G247">
            <v>163.93867272727275</v>
          </cell>
          <cell r="H247">
            <v>1.6093</v>
          </cell>
          <cell r="I247">
            <v>101.86955367381641</v>
          </cell>
        </row>
        <row r="248">
          <cell r="E248">
            <v>56</v>
          </cell>
          <cell r="F248">
            <v>0.16101119642857145</v>
          </cell>
          <cell r="G248">
            <v>161.01119642857145</v>
          </cell>
          <cell r="H248">
            <v>1.6093</v>
          </cell>
          <cell r="I248">
            <v>100.0504545010697</v>
          </cell>
        </row>
        <row r="249">
          <cell r="E249">
            <v>57</v>
          </cell>
          <cell r="F249">
            <v>0.15818643859649126</v>
          </cell>
          <cell r="G249">
            <v>158.18643859649126</v>
          </cell>
          <cell r="H249">
            <v>1.6093</v>
          </cell>
          <cell r="I249">
            <v>98.29518336947199</v>
          </cell>
        </row>
        <row r="250">
          <cell r="E250">
            <v>58</v>
          </cell>
          <cell r="F250">
            <v>0.15545908620689658</v>
          </cell>
          <cell r="G250">
            <v>155.4590862068966</v>
          </cell>
          <cell r="H250">
            <v>1.6093</v>
          </cell>
          <cell r="I250">
            <v>96.60043882861902</v>
          </cell>
        </row>
        <row r="251">
          <cell r="E251">
            <v>59</v>
          </cell>
          <cell r="F251">
            <v>0.152824186440678</v>
          </cell>
          <cell r="G251">
            <v>152.824186440678</v>
          </cell>
          <cell r="H251">
            <v>1.6093</v>
          </cell>
          <cell r="I251">
            <v>94.9631432552526</v>
          </cell>
        </row>
        <row r="252">
          <cell r="E252">
            <v>60</v>
          </cell>
          <cell r="F252">
            <v>0.15027711666666668</v>
          </cell>
          <cell r="G252">
            <v>150.27711666666667</v>
          </cell>
          <cell r="H252">
            <v>1.6093</v>
          </cell>
          <cell r="I252">
            <v>93.38042420099836</v>
          </cell>
        </row>
        <row r="253">
          <cell r="E253">
            <v>61</v>
          </cell>
          <cell r="F253">
            <v>0.1478135573770492</v>
          </cell>
          <cell r="G253">
            <v>147.81355737704922</v>
          </cell>
          <cell r="H253">
            <v>1.6093</v>
          </cell>
          <cell r="I253">
            <v>91.84959757475252</v>
          </cell>
        </row>
        <row r="254">
          <cell r="E254">
            <v>62</v>
          </cell>
          <cell r="F254">
            <v>0.14542946774193552</v>
          </cell>
          <cell r="G254">
            <v>145.42946774193553</v>
          </cell>
          <cell r="H254">
            <v>1.6093</v>
          </cell>
          <cell r="I254">
            <v>90.3681524525791</v>
          </cell>
        </row>
        <row r="255">
          <cell r="E255">
            <v>63</v>
          </cell>
          <cell r="F255">
            <v>0.14312106349206352</v>
          </cell>
          <cell r="G255">
            <v>143.1210634920635</v>
          </cell>
          <cell r="H255">
            <v>1.6093</v>
          </cell>
          <cell r="I255">
            <v>88.93373733428417</v>
          </cell>
        </row>
        <row r="256">
          <cell r="E256">
            <v>64</v>
          </cell>
          <cell r="F256">
            <v>0.14088479687500002</v>
          </cell>
          <cell r="G256">
            <v>140.88479687500003</v>
          </cell>
          <cell r="H256">
            <v>1.6093</v>
          </cell>
          <cell r="I256">
            <v>87.54414768843598</v>
          </cell>
        </row>
        <row r="257">
          <cell r="E257">
            <v>65</v>
          </cell>
          <cell r="F257">
            <v>0.1387173384615385</v>
          </cell>
          <cell r="G257">
            <v>138.7173384615385</v>
          </cell>
          <cell r="H257">
            <v>1.6093</v>
          </cell>
          <cell r="I257">
            <v>86.19731464707544</v>
          </cell>
        </row>
        <row r="258">
          <cell r="E258">
            <v>66</v>
          </cell>
          <cell r="F258">
            <v>0.13661556060606062</v>
          </cell>
          <cell r="G258">
            <v>136.61556060606063</v>
          </cell>
          <cell r="H258">
            <v>1.6093</v>
          </cell>
          <cell r="I258">
            <v>84.89129472818034</v>
          </cell>
        </row>
        <row r="259">
          <cell r="E259">
            <v>67</v>
          </cell>
          <cell r="F259">
            <v>0.13457652238805973</v>
          </cell>
          <cell r="G259">
            <v>134.57652238805971</v>
          </cell>
          <cell r="H259">
            <v>1.6093</v>
          </cell>
          <cell r="I259">
            <v>83.624260478506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ow r="4">
          <cell r="C4" t="str">
            <v>Japan</v>
          </cell>
        </row>
        <row r="6">
          <cell r="C6">
            <v>1996</v>
          </cell>
        </row>
        <row r="30">
          <cell r="C30">
            <v>2004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elle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me"/>
      <sheetName val="Introduction"/>
      <sheetName val="Emissions based on fuel use"/>
      <sheetName val="Emissions based on distance"/>
      <sheetName val="Reference"/>
      <sheetName val="FAQ"/>
      <sheetName val="Macros"/>
    </sheetNames>
    <sheetDataSet>
      <sheetData sheetId="4">
        <row r="196">
          <cell r="E196">
            <v>4</v>
          </cell>
          <cell r="F196">
            <v>2.2541567500000004</v>
          </cell>
          <cell r="G196">
            <v>2254.1567500000006</v>
          </cell>
          <cell r="H196">
            <v>1.6093</v>
          </cell>
          <cell r="I196">
            <v>1400.7063630149758</v>
          </cell>
          <cell r="J196">
            <v>1614.481954110483</v>
          </cell>
        </row>
        <row r="197">
          <cell r="E197">
            <v>5</v>
          </cell>
          <cell r="F197">
            <v>1.8033254000000003</v>
          </cell>
          <cell r="G197">
            <v>1803.3254000000004</v>
          </cell>
          <cell r="H197">
            <v>1.6093</v>
          </cell>
          <cell r="I197">
            <v>1120.5650904119807</v>
          </cell>
          <cell r="J197">
            <v>1291.5855632883865</v>
          </cell>
        </row>
        <row r="198">
          <cell r="E198">
            <v>6</v>
          </cell>
          <cell r="F198">
            <v>1.502771166666667</v>
          </cell>
          <cell r="G198">
            <v>1502.7711666666669</v>
          </cell>
          <cell r="H198">
            <v>1.6093</v>
          </cell>
          <cell r="I198">
            <v>933.8042420099838</v>
          </cell>
          <cell r="J198">
            <v>1076.3213027403222</v>
          </cell>
        </row>
        <row r="199">
          <cell r="E199">
            <v>7</v>
          </cell>
          <cell r="F199">
            <v>1.2880895714285716</v>
          </cell>
          <cell r="G199">
            <v>1288.0895714285716</v>
          </cell>
          <cell r="H199">
            <v>1.6093</v>
          </cell>
          <cell r="I199">
            <v>800.4036360085576</v>
          </cell>
          <cell r="J199">
            <v>922.5611166345617</v>
          </cell>
        </row>
        <row r="200">
          <cell r="E200">
            <v>8</v>
          </cell>
          <cell r="F200">
            <v>1.1270783750000002</v>
          </cell>
          <cell r="G200">
            <v>1127.0783750000003</v>
          </cell>
          <cell r="H200">
            <v>1.6093</v>
          </cell>
          <cell r="I200">
            <v>700.3531815074879</v>
          </cell>
          <cell r="J200">
            <v>807.2409770552415</v>
          </cell>
        </row>
        <row r="201">
          <cell r="E201">
            <v>9</v>
          </cell>
          <cell r="F201">
            <v>1.0018474444444445</v>
          </cell>
          <cell r="G201">
            <v>1001.8474444444445</v>
          </cell>
          <cell r="H201">
            <v>1.6093</v>
          </cell>
          <cell r="I201">
            <v>622.5361613399891</v>
          </cell>
          <cell r="J201">
            <v>717.5475351602146</v>
          </cell>
        </row>
        <row r="202">
          <cell r="E202">
            <v>10</v>
          </cell>
          <cell r="F202">
            <v>0.9016627000000002</v>
          </cell>
          <cell r="G202">
            <v>901.6627000000002</v>
          </cell>
          <cell r="H202">
            <v>1.6093</v>
          </cell>
          <cell r="I202">
            <v>560.2825452059903</v>
          </cell>
          <cell r="J202">
            <v>645.7927816441933</v>
          </cell>
        </row>
        <row r="203">
          <cell r="E203">
            <v>11</v>
          </cell>
          <cell r="F203">
            <v>0.8196933636363638</v>
          </cell>
          <cell r="G203">
            <v>819.6933636363638</v>
          </cell>
          <cell r="H203">
            <v>1.6093</v>
          </cell>
          <cell r="I203">
            <v>509.3477683690821</v>
          </cell>
          <cell r="J203">
            <v>587.0843469492665</v>
          </cell>
        </row>
        <row r="204">
          <cell r="E204">
            <v>12</v>
          </cell>
          <cell r="F204">
            <v>0.7513855833333335</v>
          </cell>
          <cell r="G204">
            <v>751.3855833333334</v>
          </cell>
          <cell r="H204">
            <v>1.6093</v>
          </cell>
          <cell r="I204">
            <v>466.9021210049919</v>
          </cell>
          <cell r="J204">
            <v>538.1606513701611</v>
          </cell>
        </row>
        <row r="205">
          <cell r="E205">
            <v>13</v>
          </cell>
          <cell r="F205">
            <v>0.6935866923076924</v>
          </cell>
          <cell r="G205">
            <v>693.5866923076925</v>
          </cell>
          <cell r="H205">
            <v>1.6093</v>
          </cell>
          <cell r="I205">
            <v>430.9865732353772</v>
          </cell>
          <cell r="J205">
            <v>496.7636781878409</v>
          </cell>
        </row>
        <row r="206">
          <cell r="E206">
            <v>14</v>
          </cell>
          <cell r="F206">
            <v>0.6440447857142858</v>
          </cell>
          <cell r="G206">
            <v>644.0447857142858</v>
          </cell>
          <cell r="H206">
            <v>1.6093</v>
          </cell>
          <cell r="I206">
            <v>400.2018180042788</v>
          </cell>
          <cell r="J206">
            <v>461.28055831728085</v>
          </cell>
        </row>
        <row r="207">
          <cell r="E207">
            <v>15</v>
          </cell>
          <cell r="F207">
            <v>0.6011084666666667</v>
          </cell>
          <cell r="G207">
            <v>601.1084666666667</v>
          </cell>
          <cell r="H207">
            <v>1.6093</v>
          </cell>
          <cell r="I207">
            <v>373.52169680399345</v>
          </cell>
          <cell r="J207">
            <v>430.5285210961287</v>
          </cell>
        </row>
        <row r="208">
          <cell r="E208">
            <v>16</v>
          </cell>
          <cell r="F208">
            <v>0.5635391875000001</v>
          </cell>
          <cell r="G208">
            <v>563.5391875000001</v>
          </cell>
          <cell r="H208">
            <v>1.6093</v>
          </cell>
          <cell r="I208">
            <v>350.17659075374394</v>
          </cell>
          <cell r="J208">
            <v>403.62048852762075</v>
          </cell>
        </row>
        <row r="209">
          <cell r="E209">
            <v>17</v>
          </cell>
          <cell r="F209">
            <v>0.5303898235294119</v>
          </cell>
          <cell r="G209">
            <v>530.3898235294118</v>
          </cell>
          <cell r="H209">
            <v>1.6093</v>
          </cell>
          <cell r="I209">
            <v>329.5779677682296</v>
          </cell>
          <cell r="J209">
            <v>379.8781068495254</v>
          </cell>
        </row>
        <row r="210">
          <cell r="E210">
            <v>18</v>
          </cell>
          <cell r="F210">
            <v>0.5009237222222223</v>
          </cell>
          <cell r="G210">
            <v>500.92372222222224</v>
          </cell>
          <cell r="H210">
            <v>1.6093</v>
          </cell>
          <cell r="I210">
            <v>311.26808066999456</v>
          </cell>
          <cell r="J210">
            <v>358.7737675801073</v>
          </cell>
        </row>
        <row r="211">
          <cell r="E211">
            <v>19</v>
          </cell>
          <cell r="F211">
            <v>0.47455931578947375</v>
          </cell>
          <cell r="G211">
            <v>474.55931578947377</v>
          </cell>
          <cell r="H211">
            <v>1.6093</v>
          </cell>
          <cell r="I211">
            <v>294.88555010841594</v>
          </cell>
          <cell r="J211">
            <v>339.8909377074701</v>
          </cell>
        </row>
        <row r="212">
          <cell r="E212">
            <v>20</v>
          </cell>
          <cell r="F212">
            <v>0.4508313500000001</v>
          </cell>
          <cell r="G212">
            <v>450.8313500000001</v>
          </cell>
          <cell r="H212">
            <v>1.6093</v>
          </cell>
          <cell r="I212">
            <v>280.1412726029952</v>
          </cell>
          <cell r="J212">
            <v>322.89639082209663</v>
          </cell>
        </row>
        <row r="213">
          <cell r="E213">
            <v>21</v>
          </cell>
          <cell r="F213">
            <v>0.42936319047619054</v>
          </cell>
          <cell r="G213">
            <v>429.36319047619054</v>
          </cell>
          <cell r="H213">
            <v>1.6093</v>
          </cell>
          <cell r="I213">
            <v>266.80121200285254</v>
          </cell>
          <cell r="J213">
            <v>307.52037221152057</v>
          </cell>
        </row>
        <row r="214">
          <cell r="E214">
            <v>22</v>
          </cell>
          <cell r="F214">
            <v>0.4098466818181819</v>
          </cell>
          <cell r="G214">
            <v>409.8466818181819</v>
          </cell>
          <cell r="H214">
            <v>1.6093</v>
          </cell>
          <cell r="I214">
            <v>254.67388418454104</v>
          </cell>
          <cell r="J214">
            <v>293.5421734746333</v>
          </cell>
        </row>
        <row r="215">
          <cell r="E215">
            <v>23</v>
          </cell>
          <cell r="F215">
            <v>0.3920272608695653</v>
          </cell>
          <cell r="G215">
            <v>392.0272608695653</v>
          </cell>
          <cell r="H215">
            <v>1.6093</v>
          </cell>
          <cell r="I215">
            <v>243.60110661130014</v>
          </cell>
          <cell r="J215">
            <v>280.779470280084</v>
          </cell>
        </row>
        <row r="216">
          <cell r="E216">
            <v>24</v>
          </cell>
          <cell r="F216">
            <v>0.37569279166666675</v>
          </cell>
          <cell r="G216">
            <v>375.6927916666667</v>
          </cell>
          <cell r="H216">
            <v>1.6093</v>
          </cell>
          <cell r="I216">
            <v>233.45106050249595</v>
          </cell>
          <cell r="J216">
            <v>269.08032568508054</v>
          </cell>
        </row>
        <row r="217">
          <cell r="E217">
            <v>25</v>
          </cell>
          <cell r="F217">
            <v>0.3606650800000001</v>
          </cell>
          <cell r="G217">
            <v>360.6650800000001</v>
          </cell>
          <cell r="H217">
            <v>1.6093</v>
          </cell>
          <cell r="I217">
            <v>224.11301808239614</v>
          </cell>
          <cell r="J217">
            <v>258.3171126576773</v>
          </cell>
        </row>
        <row r="218">
          <cell r="E218">
            <v>26</v>
          </cell>
          <cell r="F218">
            <v>0.3467933461538462</v>
          </cell>
          <cell r="G218">
            <v>346.79334615384624</v>
          </cell>
          <cell r="H218">
            <v>1.6093</v>
          </cell>
          <cell r="I218">
            <v>215.4932866176886</v>
          </cell>
          <cell r="J218">
            <v>248.38183909392046</v>
          </cell>
        </row>
        <row r="219">
          <cell r="E219">
            <v>27</v>
          </cell>
          <cell r="F219">
            <v>0.3339491481481482</v>
          </cell>
          <cell r="G219">
            <v>333.9491481481482</v>
          </cell>
          <cell r="H219">
            <v>1.6093</v>
          </cell>
          <cell r="I219">
            <v>207.5120537799964</v>
          </cell>
          <cell r="J219">
            <v>239.18251172007157</v>
          </cell>
        </row>
        <row r="220">
          <cell r="E220">
            <v>28</v>
          </cell>
          <cell r="F220">
            <v>0.3220223928571429</v>
          </cell>
          <cell r="G220">
            <v>322.0223928571429</v>
          </cell>
          <cell r="H220">
            <v>1.6093</v>
          </cell>
          <cell r="I220">
            <v>200.1009090021394</v>
          </cell>
          <cell r="J220">
            <v>230.64027915864042</v>
          </cell>
        </row>
        <row r="221">
          <cell r="E221">
            <v>29</v>
          </cell>
          <cell r="F221">
            <v>0.31091817241379316</v>
          </cell>
          <cell r="G221">
            <v>310.9181724137932</v>
          </cell>
          <cell r="H221">
            <v>1.6093</v>
          </cell>
          <cell r="I221">
            <v>193.20087765723804</v>
          </cell>
          <cell r="J221">
            <v>222.68716608420456</v>
          </cell>
        </row>
        <row r="222">
          <cell r="E222">
            <v>30</v>
          </cell>
          <cell r="F222">
            <v>0.30055423333333336</v>
          </cell>
          <cell r="G222">
            <v>300.55423333333334</v>
          </cell>
          <cell r="H222">
            <v>1.6093</v>
          </cell>
          <cell r="I222">
            <v>186.76084840199672</v>
          </cell>
          <cell r="J222">
            <v>215.26426054806436</v>
          </cell>
        </row>
        <row r="223">
          <cell r="E223">
            <v>31</v>
          </cell>
          <cell r="F223">
            <v>0.29085893548387104</v>
          </cell>
          <cell r="G223">
            <v>290.85893548387105</v>
          </cell>
          <cell r="H223">
            <v>1.6093</v>
          </cell>
          <cell r="I223">
            <v>180.7363049051582</v>
          </cell>
          <cell r="J223">
            <v>208.32025214328817</v>
          </cell>
        </row>
        <row r="224">
          <cell r="E224">
            <v>32</v>
          </cell>
          <cell r="F224">
            <v>0.28176959375000005</v>
          </cell>
          <cell r="G224">
            <v>281.76959375000007</v>
          </cell>
          <cell r="H224">
            <v>1.6093</v>
          </cell>
          <cell r="I224">
            <v>175.08829537687197</v>
          </cell>
          <cell r="J224">
            <v>201.81024426381038</v>
          </cell>
        </row>
        <row r="225">
          <cell r="E225">
            <v>33</v>
          </cell>
          <cell r="F225">
            <v>0.27323112121212123</v>
          </cell>
          <cell r="G225">
            <v>273.23112121212125</v>
          </cell>
          <cell r="H225">
            <v>1.6093</v>
          </cell>
          <cell r="I225">
            <v>169.78258945636068</v>
          </cell>
          <cell r="J225">
            <v>195.69478231642216</v>
          </cell>
        </row>
        <row r="226">
          <cell r="E226">
            <v>34</v>
          </cell>
          <cell r="F226">
            <v>0.26519491176470594</v>
          </cell>
          <cell r="G226">
            <v>265.1949117647059</v>
          </cell>
          <cell r="H226">
            <v>1.6093</v>
          </cell>
          <cell r="I226">
            <v>164.7889838841148</v>
          </cell>
          <cell r="J226">
            <v>189.9390534247627</v>
          </cell>
        </row>
        <row r="227">
          <cell r="E227">
            <v>35</v>
          </cell>
          <cell r="F227">
            <v>0.25761791428571434</v>
          </cell>
          <cell r="G227">
            <v>257.61791428571433</v>
          </cell>
          <cell r="H227">
            <v>1.6093</v>
          </cell>
          <cell r="I227">
            <v>160.0807272017115</v>
          </cell>
          <cell r="J227">
            <v>184.51222332691233</v>
          </cell>
        </row>
        <row r="228">
          <cell r="E228">
            <v>36</v>
          </cell>
          <cell r="F228">
            <v>0.25046186111111113</v>
          </cell>
          <cell r="G228">
            <v>250.46186111111112</v>
          </cell>
          <cell r="H228">
            <v>1.6093</v>
          </cell>
          <cell r="I228">
            <v>155.63404033499728</v>
          </cell>
          <cell r="J228">
            <v>179.38688379005364</v>
          </cell>
        </row>
        <row r="229">
          <cell r="E229">
            <v>37</v>
          </cell>
          <cell r="F229">
            <v>0.24369262162162167</v>
          </cell>
          <cell r="G229">
            <v>243.69262162162167</v>
          </cell>
          <cell r="H229">
            <v>1.6093</v>
          </cell>
          <cell r="I229">
            <v>151.4277149205379</v>
          </cell>
          <cell r="J229">
            <v>174.53858963356572</v>
          </cell>
        </row>
        <row r="230">
          <cell r="E230">
            <v>38</v>
          </cell>
          <cell r="F230">
            <v>0.23727965789473687</v>
          </cell>
          <cell r="G230">
            <v>237.27965789473689</v>
          </cell>
          <cell r="H230">
            <v>1.6093</v>
          </cell>
          <cell r="I230">
            <v>147.44277505420797</v>
          </cell>
          <cell r="J230">
            <v>169.94546885373504</v>
          </cell>
        </row>
        <row r="231">
          <cell r="E231">
            <v>39</v>
          </cell>
          <cell r="F231">
            <v>0.23119556410256414</v>
          </cell>
          <cell r="G231">
            <v>231.19556410256413</v>
          </cell>
          <cell r="H231">
            <v>1.6093</v>
          </cell>
          <cell r="I231">
            <v>143.66219107845905</v>
          </cell>
          <cell r="J231">
            <v>165.5878927292803</v>
          </cell>
        </row>
        <row r="232">
          <cell r="E232">
            <v>40</v>
          </cell>
          <cell r="F232">
            <v>0.22541567500000004</v>
          </cell>
          <cell r="G232">
            <v>225.41567500000005</v>
          </cell>
          <cell r="H232">
            <v>1.6093</v>
          </cell>
          <cell r="I232">
            <v>140.0706363014976</v>
          </cell>
          <cell r="J232">
            <v>161.44819541104832</v>
          </cell>
        </row>
        <row r="233">
          <cell r="E233">
            <v>41</v>
          </cell>
          <cell r="F233">
            <v>0.2199177317073171</v>
          </cell>
          <cell r="G233">
            <v>219.9177317073171</v>
          </cell>
          <cell r="H233">
            <v>1.6093</v>
          </cell>
          <cell r="I233">
            <v>136.6542793185342</v>
          </cell>
          <cell r="J233">
            <v>157.51043454736418</v>
          </cell>
        </row>
        <row r="234">
          <cell r="E234">
            <v>42</v>
          </cell>
          <cell r="F234">
            <v>0.21468159523809527</v>
          </cell>
          <cell r="G234">
            <v>214.68159523809527</v>
          </cell>
          <cell r="H234">
            <v>1.6093</v>
          </cell>
          <cell r="I234">
            <v>133.40060600142627</v>
          </cell>
          <cell r="J234">
            <v>153.76018610576028</v>
          </cell>
        </row>
        <row r="235">
          <cell r="E235">
            <v>43</v>
          </cell>
          <cell r="F235">
            <v>0.20968900000000004</v>
          </cell>
          <cell r="G235">
            <v>209.68900000000005</v>
          </cell>
          <cell r="H235">
            <v>1.6093</v>
          </cell>
          <cell r="I235">
            <v>130.2982663269745</v>
          </cell>
          <cell r="J235">
            <v>150.18436782423097</v>
          </cell>
        </row>
        <row r="236">
          <cell r="E236">
            <v>44</v>
          </cell>
          <cell r="F236">
            <v>0.20492334090909095</v>
          </cell>
          <cell r="G236">
            <v>204.92334090909094</v>
          </cell>
          <cell r="H236">
            <v>1.6093</v>
          </cell>
          <cell r="I236">
            <v>127.33694209227052</v>
          </cell>
          <cell r="J236">
            <v>146.77108673731664</v>
          </cell>
        </row>
        <row r="237">
          <cell r="E237">
            <v>45</v>
          </cell>
          <cell r="F237">
            <v>0.20036948888888892</v>
          </cell>
          <cell r="G237">
            <v>200.36948888888892</v>
          </cell>
          <cell r="H237">
            <v>1.6093</v>
          </cell>
          <cell r="I237">
            <v>124.50723226799785</v>
          </cell>
          <cell r="J237">
            <v>143.50950703204293</v>
          </cell>
        </row>
        <row r="238">
          <cell r="E238">
            <v>46</v>
          </cell>
          <cell r="F238">
            <v>0.19601363043478265</v>
          </cell>
          <cell r="G238">
            <v>196.01363043478264</v>
          </cell>
          <cell r="H238">
            <v>1.6093</v>
          </cell>
          <cell r="I238">
            <v>121.80055330565007</v>
          </cell>
          <cell r="J238">
            <v>140.389735140042</v>
          </cell>
        </row>
        <row r="239">
          <cell r="E239">
            <v>47</v>
          </cell>
          <cell r="F239">
            <v>0.1918431276595745</v>
          </cell>
          <cell r="G239">
            <v>191.84312765957452</v>
          </cell>
          <cell r="H239">
            <v>1.6093</v>
          </cell>
          <cell r="I239">
            <v>119.20905217148731</v>
          </cell>
          <cell r="J239">
            <v>137.40271949876455</v>
          </cell>
        </row>
        <row r="240">
          <cell r="E240">
            <v>48</v>
          </cell>
          <cell r="F240">
            <v>0.18784639583333337</v>
          </cell>
          <cell r="G240">
            <v>187.84639583333336</v>
          </cell>
          <cell r="H240">
            <v>1.6093</v>
          </cell>
          <cell r="I240">
            <v>116.72553025124797</v>
          </cell>
          <cell r="J240">
            <v>134.54016284254027</v>
          </cell>
        </row>
        <row r="241">
          <cell r="E241">
            <v>49</v>
          </cell>
          <cell r="F241">
            <v>0.1840127959183674</v>
          </cell>
          <cell r="G241">
            <v>184.0127959183674</v>
          </cell>
          <cell r="H241">
            <v>1.6093</v>
          </cell>
          <cell r="I241">
            <v>114.3433765726511</v>
          </cell>
          <cell r="J241">
            <v>131.79444523350884</v>
          </cell>
        </row>
        <row r="242">
          <cell r="E242">
            <v>50</v>
          </cell>
          <cell r="F242">
            <v>0.18033254000000004</v>
          </cell>
          <cell r="G242">
            <v>180.33254000000005</v>
          </cell>
          <cell r="H242">
            <v>1.6093</v>
          </cell>
          <cell r="I242">
            <v>112.05650904119807</v>
          </cell>
          <cell r="J242">
            <v>129.15855632883864</v>
          </cell>
        </row>
        <row r="243">
          <cell r="E243">
            <v>51</v>
          </cell>
          <cell r="F243">
            <v>0.17679660784313728</v>
          </cell>
          <cell r="G243">
            <v>176.79660784313728</v>
          </cell>
          <cell r="H243">
            <v>1.6093</v>
          </cell>
          <cell r="I243">
            <v>109.85932258940986</v>
          </cell>
          <cell r="J243">
            <v>126.62603561650847</v>
          </cell>
        </row>
        <row r="244">
          <cell r="E244">
            <v>52</v>
          </cell>
          <cell r="F244">
            <v>0.1733966730769231</v>
          </cell>
          <cell r="G244">
            <v>173.39667307692312</v>
          </cell>
          <cell r="H244">
            <v>1.6093</v>
          </cell>
          <cell r="I244">
            <v>107.7466433088443</v>
          </cell>
          <cell r="J244">
            <v>124.19091954696023</v>
          </cell>
        </row>
        <row r="245">
          <cell r="E245">
            <v>53</v>
          </cell>
          <cell r="F245">
            <v>0.17012503773584908</v>
          </cell>
          <cell r="G245">
            <v>170.12503773584908</v>
          </cell>
          <cell r="H245">
            <v>1.6093</v>
          </cell>
          <cell r="I245">
            <v>105.71368777471514</v>
          </cell>
          <cell r="J245">
            <v>121.84769464984777</v>
          </cell>
        </row>
        <row r="246">
          <cell r="E246">
            <v>54</v>
          </cell>
          <cell r="F246">
            <v>0.1669745740740741</v>
          </cell>
          <cell r="G246">
            <v>166.9745740740741</v>
          </cell>
          <cell r="H246">
            <v>1.6093</v>
          </cell>
          <cell r="I246">
            <v>103.7560268899982</v>
          </cell>
          <cell r="J246">
            <v>119.59125586003579</v>
          </cell>
        </row>
        <row r="247">
          <cell r="E247">
            <v>55</v>
          </cell>
          <cell r="F247">
            <v>0.16393867272727275</v>
          </cell>
          <cell r="G247">
            <v>163.93867272727275</v>
          </cell>
          <cell r="H247">
            <v>1.6093</v>
          </cell>
          <cell r="I247">
            <v>101.86955367381641</v>
          </cell>
          <cell r="J247">
            <v>117.41686938985332</v>
          </cell>
        </row>
        <row r="248">
          <cell r="E248">
            <v>56</v>
          </cell>
          <cell r="F248">
            <v>0.16101119642857145</v>
          </cell>
          <cell r="G248">
            <v>161.01119642857145</v>
          </cell>
          <cell r="H248">
            <v>1.6093</v>
          </cell>
          <cell r="I248">
            <v>100.0504545010697</v>
          </cell>
          <cell r="J248">
            <v>115.32013957932021</v>
          </cell>
        </row>
        <row r="249">
          <cell r="E249">
            <v>57</v>
          </cell>
          <cell r="F249">
            <v>0.15818643859649126</v>
          </cell>
          <cell r="G249">
            <v>158.18643859649126</v>
          </cell>
          <cell r="H249">
            <v>1.6093</v>
          </cell>
          <cell r="I249">
            <v>98.29518336947199</v>
          </cell>
          <cell r="J249">
            <v>113.29697923582337</v>
          </cell>
        </row>
        <row r="250">
          <cell r="E250">
            <v>58</v>
          </cell>
          <cell r="F250">
            <v>0.15545908620689658</v>
          </cell>
          <cell r="G250">
            <v>155.4590862068966</v>
          </cell>
          <cell r="H250">
            <v>1.6093</v>
          </cell>
          <cell r="I250">
            <v>96.60043882861902</v>
          </cell>
          <cell r="J250">
            <v>111.34358304210228</v>
          </cell>
        </row>
        <row r="251">
          <cell r="E251">
            <v>59</v>
          </cell>
          <cell r="F251">
            <v>0.152824186440678</v>
          </cell>
          <cell r="G251">
            <v>152.824186440678</v>
          </cell>
          <cell r="H251">
            <v>1.6093</v>
          </cell>
          <cell r="I251">
            <v>94.9631432552526</v>
          </cell>
          <cell r="J251">
            <v>109.45640366850733</v>
          </cell>
        </row>
        <row r="252">
          <cell r="E252">
            <v>60</v>
          </cell>
          <cell r="F252">
            <v>0.15027711666666668</v>
          </cell>
          <cell r="G252">
            <v>150.27711666666667</v>
          </cell>
          <cell r="H252">
            <v>1.6093</v>
          </cell>
          <cell r="I252">
            <v>93.38042420099836</v>
          </cell>
          <cell r="J252">
            <v>107.63213027403218</v>
          </cell>
        </row>
        <row r="253">
          <cell r="E253">
            <v>61</v>
          </cell>
          <cell r="F253">
            <v>0.1478135573770492</v>
          </cell>
          <cell r="G253">
            <v>147.81355737704922</v>
          </cell>
          <cell r="H253">
            <v>1.6093</v>
          </cell>
          <cell r="I253">
            <v>91.84959757475252</v>
          </cell>
          <cell r="J253">
            <v>105.8676691219989</v>
          </cell>
        </row>
        <row r="254">
          <cell r="E254">
            <v>62</v>
          </cell>
          <cell r="F254">
            <v>0.14542946774193552</v>
          </cell>
          <cell r="G254">
            <v>145.42946774193553</v>
          </cell>
          <cell r="H254">
            <v>1.6093</v>
          </cell>
          <cell r="I254">
            <v>90.3681524525791</v>
          </cell>
          <cell r="J254">
            <v>104.16012607164409</v>
          </cell>
        </row>
        <row r="255">
          <cell r="E255">
            <v>63</v>
          </cell>
          <cell r="F255">
            <v>0.14312106349206352</v>
          </cell>
          <cell r="G255">
            <v>143.1210634920635</v>
          </cell>
          <cell r="H255">
            <v>1.6093</v>
          </cell>
          <cell r="I255">
            <v>88.93373733428417</v>
          </cell>
          <cell r="J255">
            <v>102.50679073717353</v>
          </cell>
        </row>
        <row r="256">
          <cell r="E256">
            <v>64</v>
          </cell>
          <cell r="F256">
            <v>0.14088479687500002</v>
          </cell>
          <cell r="G256">
            <v>140.88479687500003</v>
          </cell>
          <cell r="H256">
            <v>1.6093</v>
          </cell>
          <cell r="I256">
            <v>87.54414768843598</v>
          </cell>
          <cell r="J256">
            <v>100.90512213190519</v>
          </cell>
        </row>
        <row r="257">
          <cell r="E257">
            <v>65</v>
          </cell>
          <cell r="F257">
            <v>0.1387173384615385</v>
          </cell>
          <cell r="G257">
            <v>138.7173384615385</v>
          </cell>
          <cell r="H257">
            <v>1.6093</v>
          </cell>
          <cell r="I257">
            <v>86.19731464707544</v>
          </cell>
          <cell r="J257">
            <v>99.3527356375682</v>
          </cell>
        </row>
        <row r="258">
          <cell r="E258">
            <v>66</v>
          </cell>
          <cell r="F258">
            <v>0.13661556060606062</v>
          </cell>
          <cell r="G258">
            <v>136.61556060606063</v>
          </cell>
          <cell r="H258">
            <v>1.6093</v>
          </cell>
          <cell r="I258">
            <v>84.89129472818034</v>
          </cell>
          <cell r="J258">
            <v>97.84739115821108</v>
          </cell>
        </row>
        <row r="259">
          <cell r="E259">
            <v>67</v>
          </cell>
          <cell r="F259">
            <v>0.13457652238805973</v>
          </cell>
          <cell r="G259">
            <v>134.57652238805971</v>
          </cell>
          <cell r="H259">
            <v>1.6093</v>
          </cell>
          <cell r="I259">
            <v>83.624260478506</v>
          </cell>
          <cell r="J259">
            <v>96.3869823349542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ow r="4">
          <cell r="C4" t="str">
            <v>Japan</v>
          </cell>
        </row>
        <row r="6">
          <cell r="C6">
            <v>1996</v>
          </cell>
        </row>
        <row r="30">
          <cell r="C30">
            <v>2004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el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drawing" Target="../drawings/drawing12.xml" /><Relationship Id="rId4"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eia.doe.gov/pub/oiaf/1605/cdrom/pdf/gg-app-tables.pdf" TargetMode="External" /><Relationship Id="rId2" Type="http://schemas.openxmlformats.org/officeDocument/2006/relationships/comments" Target="../comments13.xml" /><Relationship Id="rId3" Type="http://schemas.openxmlformats.org/officeDocument/2006/relationships/vmlDrawing" Target="../drawings/vmlDrawing3.vml" /><Relationship Id="rId4" Type="http://schemas.openxmlformats.org/officeDocument/2006/relationships/drawing" Target="../drawings/drawing13.xml" /><Relationship Id="rId5"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hyperlink" Target="http://encyclopedia.airliquide.com/encyclopedia.asp?GasID=1" TargetMode="External" /><Relationship Id="rId2" Type="http://schemas.openxmlformats.org/officeDocument/2006/relationships/hyperlink" Target="http://www.uigi.com/carbondioxide.html" TargetMode="External" /><Relationship Id="rId3" Type="http://schemas.openxmlformats.org/officeDocument/2006/relationships/hyperlink" Target="http://www.uigi.com/carbondioxide.html" TargetMode="External" /><Relationship Id="rId4"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B1:L25"/>
  <sheetViews>
    <sheetView showGridLines="0" tabSelected="1"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2.57421875" style="66" customWidth="1"/>
    <col min="2" max="2" width="36.140625" style="66" customWidth="1"/>
    <col min="3" max="3" width="16.00390625" style="66" customWidth="1"/>
    <col min="4" max="16384" width="9.140625" style="66" customWidth="1"/>
  </cols>
  <sheetData>
    <row r="1" spans="2:9" s="522" customFormat="1" ht="58.5" customHeight="1" thickBot="1" thickTop="1">
      <c r="B1" s="639" t="s">
        <v>16</v>
      </c>
      <c r="C1" s="639"/>
      <c r="D1" s="639"/>
      <c r="E1" s="639"/>
      <c r="F1" s="639"/>
      <c r="G1" s="521"/>
      <c r="H1" s="521"/>
      <c r="I1" s="521"/>
    </row>
    <row r="2" s="281" customFormat="1" ht="8.25" customHeight="1" thickTop="1"/>
    <row r="3" spans="2:12" s="209" customFormat="1" ht="14.25" customHeight="1">
      <c r="B3" s="642" t="s">
        <v>1055</v>
      </c>
      <c r="C3" s="642"/>
      <c r="D3" s="642"/>
      <c r="E3" s="642"/>
      <c r="F3" s="642"/>
      <c r="G3" s="642"/>
      <c r="H3" s="642"/>
      <c r="I3" s="642"/>
      <c r="J3" s="642"/>
      <c r="K3" s="642"/>
      <c r="L3" s="642"/>
    </row>
    <row r="4" spans="2:12" ht="12.75">
      <c r="B4" s="642"/>
      <c r="C4" s="642"/>
      <c r="D4" s="642"/>
      <c r="E4" s="642"/>
      <c r="F4" s="642"/>
      <c r="G4" s="642"/>
      <c r="H4" s="642"/>
      <c r="I4" s="642"/>
      <c r="J4" s="642"/>
      <c r="K4" s="642"/>
      <c r="L4" s="642"/>
    </row>
    <row r="5" spans="2:12" ht="12.75">
      <c r="B5" s="642"/>
      <c r="C5" s="642"/>
      <c r="D5" s="642"/>
      <c r="E5" s="642"/>
      <c r="F5" s="642"/>
      <c r="G5" s="642"/>
      <c r="H5" s="642"/>
      <c r="I5" s="642"/>
      <c r="J5" s="642"/>
      <c r="K5" s="642"/>
      <c r="L5" s="642"/>
    </row>
    <row r="6" spans="2:12" ht="12.75">
      <c r="B6" s="642"/>
      <c r="C6" s="642"/>
      <c r="D6" s="642"/>
      <c r="E6" s="642"/>
      <c r="F6" s="642"/>
      <c r="G6" s="642"/>
      <c r="H6" s="642"/>
      <c r="I6" s="642"/>
      <c r="J6" s="642"/>
      <c r="K6" s="642"/>
      <c r="L6" s="642"/>
    </row>
    <row r="7" spans="2:12" ht="12.75">
      <c r="B7" s="642"/>
      <c r="C7" s="642"/>
      <c r="D7" s="642"/>
      <c r="E7" s="642"/>
      <c r="F7" s="642"/>
      <c r="G7" s="642"/>
      <c r="H7" s="642"/>
      <c r="I7" s="642"/>
      <c r="J7" s="642"/>
      <c r="K7" s="642"/>
      <c r="L7" s="642"/>
    </row>
    <row r="8" spans="2:12" ht="12.75">
      <c r="B8" s="642"/>
      <c r="C8" s="642"/>
      <c r="D8" s="642"/>
      <c r="E8" s="642"/>
      <c r="F8" s="642"/>
      <c r="G8" s="642"/>
      <c r="H8" s="642"/>
      <c r="I8" s="642"/>
      <c r="J8" s="642"/>
      <c r="K8" s="642"/>
      <c r="L8" s="642"/>
    </row>
    <row r="9" ht="26.25" customHeight="1">
      <c r="B9" s="575" t="s">
        <v>59</v>
      </c>
    </row>
    <row r="10" spans="2:12" ht="26.25" customHeight="1">
      <c r="B10" s="644" t="s">
        <v>1054</v>
      </c>
      <c r="C10" s="644"/>
      <c r="D10" s="644"/>
      <c r="E10" s="644"/>
      <c r="F10" s="644"/>
      <c r="G10" s="644"/>
      <c r="H10" s="644"/>
      <c r="I10" s="644"/>
      <c r="J10" s="644"/>
      <c r="K10" s="644"/>
      <c r="L10" s="644"/>
    </row>
    <row r="11" spans="2:12" s="376" customFormat="1" ht="8.25" customHeight="1" thickBot="1">
      <c r="B11" s="375"/>
      <c r="C11" s="375"/>
      <c r="D11" s="375"/>
      <c r="E11" s="375"/>
      <c r="F11" s="375"/>
      <c r="G11" s="375"/>
      <c r="H11" s="375"/>
      <c r="I11" s="375"/>
      <c r="J11" s="375"/>
      <c r="K11" s="375"/>
      <c r="L11" s="375"/>
    </row>
    <row r="12" s="524" customFormat="1" ht="24" customHeight="1" thickBot="1" thickTop="1">
      <c r="B12" s="523" t="s">
        <v>989</v>
      </c>
    </row>
    <row r="13" ht="5.25" customHeight="1" thickTop="1"/>
    <row r="14" spans="2:12" ht="42" customHeight="1">
      <c r="B14" s="643" t="s">
        <v>1</v>
      </c>
      <c r="C14" s="643"/>
      <c r="D14" s="643"/>
      <c r="E14" s="643"/>
      <c r="F14" s="643"/>
      <c r="G14" s="643"/>
      <c r="H14" s="643"/>
      <c r="I14" s="643"/>
      <c r="J14" s="643"/>
      <c r="K14" s="643"/>
      <c r="L14" s="643"/>
    </row>
    <row r="15" ht="6" customHeight="1"/>
    <row r="17" spans="2:6" ht="12.75">
      <c r="B17" s="374" t="s">
        <v>735</v>
      </c>
      <c r="C17" s="641"/>
      <c r="D17" s="641"/>
      <c r="E17" s="641"/>
      <c r="F17" s="641"/>
    </row>
    <row r="18" ht="12.75">
      <c r="B18" s="374"/>
    </row>
    <row r="19" spans="2:6" ht="12.75">
      <c r="B19" s="374" t="s">
        <v>988</v>
      </c>
      <c r="C19" s="641"/>
      <c r="D19" s="641"/>
      <c r="E19" s="641"/>
      <c r="F19" s="641"/>
    </row>
    <row r="20" ht="12.75">
      <c r="B20" s="374"/>
    </row>
    <row r="21" spans="2:3" ht="12.75">
      <c r="B21" s="374" t="s">
        <v>388</v>
      </c>
      <c r="C21" s="274"/>
    </row>
    <row r="23" spans="2:12" ht="25.5" customHeight="1">
      <c r="B23" s="640" t="s">
        <v>3</v>
      </c>
      <c r="C23" s="640"/>
      <c r="D23" s="640"/>
      <c r="E23" s="640"/>
      <c r="F23" s="640"/>
      <c r="G23" s="640"/>
      <c r="H23" s="640"/>
      <c r="I23" s="640"/>
      <c r="J23" s="640"/>
      <c r="K23" s="640"/>
      <c r="L23" s="640"/>
    </row>
    <row r="25" ht="12.75">
      <c r="B25" s="272" t="s">
        <v>76</v>
      </c>
    </row>
  </sheetData>
  <sheetProtection/>
  <mergeCells count="7">
    <mergeCell ref="B1:F1"/>
    <mergeCell ref="B23:L23"/>
    <mergeCell ref="C19:F19"/>
    <mergeCell ref="C17:F17"/>
    <mergeCell ref="B3:L8"/>
    <mergeCell ref="B14:L14"/>
    <mergeCell ref="B10:L10"/>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10"/>
  <dimension ref="A1:AL576"/>
  <sheetViews>
    <sheetView showGridLines="0" zoomScale="85" zoomScaleNormal="85" workbookViewId="0" topLeftCell="C3">
      <pane ySplit="2" topLeftCell="BM5" activePane="bottomLeft" state="frozen"/>
      <selection pane="topLeft" activeCell="C3" sqref="C3"/>
      <selection pane="bottomLeft" activeCell="L28" sqref="L28"/>
    </sheetView>
  </sheetViews>
  <sheetFormatPr defaultColWidth="9.140625" defaultRowHeight="12.75"/>
  <cols>
    <col min="1" max="1" width="11.140625" style="292" hidden="1" customWidth="1"/>
    <col min="2" max="2" width="11.140625" style="291" hidden="1" customWidth="1"/>
    <col min="3" max="3" width="3.57421875" style="291" customWidth="1"/>
    <col min="4" max="4" width="0.9921875" style="291" customWidth="1"/>
    <col min="5" max="5" width="26.140625" style="291" customWidth="1"/>
    <col min="6" max="6" width="17.140625" style="293" customWidth="1"/>
    <col min="7" max="7" width="31.7109375" style="291" customWidth="1"/>
    <col min="8" max="8" width="14.421875" style="291" customWidth="1"/>
    <col min="9" max="9" width="11.8515625" style="291" customWidth="1"/>
    <col min="10" max="10" width="9.57421875" style="291" customWidth="1"/>
    <col min="11" max="11" width="14.00390625" style="293" customWidth="1"/>
    <col min="12" max="12" width="11.00390625" style="291" customWidth="1"/>
    <col min="13" max="13" width="13.00390625" style="291" customWidth="1"/>
    <col min="14" max="14" width="15.140625" style="294" customWidth="1"/>
    <col min="15" max="15" width="15.57421875" style="291" customWidth="1"/>
    <col min="16" max="16384" width="9.140625" style="291" customWidth="1"/>
  </cols>
  <sheetData>
    <row r="1" spans="6:14" s="284" customFormat="1" ht="4.5" customHeight="1" hidden="1">
      <c r="F1" s="285"/>
      <c r="K1" s="285"/>
      <c r="N1" s="286"/>
    </row>
    <row r="2" spans="6:14" s="284" customFormat="1" ht="15.75" customHeight="1" hidden="1">
      <c r="F2" s="287"/>
      <c r="G2" s="288"/>
      <c r="H2" s="288"/>
      <c r="I2" s="288"/>
      <c r="J2" s="288"/>
      <c r="K2" s="287"/>
      <c r="L2" s="288"/>
      <c r="M2" s="288"/>
      <c r="N2" s="289"/>
    </row>
    <row r="3" spans="6:14" s="288" customFormat="1" ht="1.5" customHeight="1">
      <c r="F3" s="287"/>
      <c r="K3" s="287"/>
      <c r="N3" s="289"/>
    </row>
    <row r="4" spans="3:14" s="546" customFormat="1" ht="43.5" customHeight="1" thickBot="1">
      <c r="C4" s="564" t="s">
        <v>1046</v>
      </c>
      <c r="D4" s="564"/>
      <c r="E4" s="564"/>
      <c r="F4" s="565"/>
      <c r="K4" s="566"/>
      <c r="N4" s="567"/>
    </row>
    <row r="5" spans="3:23" s="416" customFormat="1" ht="13.5" customHeight="1" thickBot="1" thickTop="1">
      <c r="C5" s="415"/>
      <c r="E5" s="417"/>
      <c r="F5" s="418"/>
      <c r="G5" s="417"/>
      <c r="H5" s="417"/>
      <c r="I5" s="417"/>
      <c r="J5" s="417"/>
      <c r="K5" s="418"/>
      <c r="L5" s="417"/>
      <c r="M5" s="417"/>
      <c r="N5" s="419"/>
      <c r="P5" s="417"/>
      <c r="Q5" s="417"/>
      <c r="R5" s="417"/>
      <c r="S5" s="417"/>
      <c r="T5" s="417"/>
      <c r="U5" s="417"/>
      <c r="V5" s="417"/>
      <c r="W5" s="417"/>
    </row>
    <row r="6" spans="1:21" s="421" customFormat="1" ht="14.25" customHeight="1" thickBot="1">
      <c r="A6" s="442">
        <v>5</v>
      </c>
      <c r="C6" s="420"/>
      <c r="D6" s="420"/>
      <c r="F6" s="420"/>
      <c r="H6" s="420"/>
      <c r="I6" s="420"/>
      <c r="J6" s="422"/>
      <c r="K6" s="420"/>
      <c r="L6" s="423"/>
      <c r="N6" s="420"/>
      <c r="O6" s="420"/>
      <c r="P6" s="420"/>
      <c r="Q6" s="420"/>
      <c r="R6" s="420"/>
      <c r="S6" s="420"/>
      <c r="T6" s="420"/>
      <c r="U6" s="420"/>
    </row>
    <row r="7" spans="1:36" s="204" customFormat="1" ht="24.75" thickBot="1">
      <c r="A7" s="442">
        <v>4</v>
      </c>
      <c r="C7" s="424"/>
      <c r="D7" s="21"/>
      <c r="E7" s="397"/>
      <c r="F7" s="477"/>
      <c r="G7" s="477"/>
      <c r="H7" s="478" t="s">
        <v>242</v>
      </c>
      <c r="I7" s="478" t="s">
        <v>243</v>
      </c>
      <c r="J7" s="469"/>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row>
    <row r="8" spans="1:36" s="204" customFormat="1" ht="24.75" thickBot="1">
      <c r="A8" s="442">
        <v>3</v>
      </c>
      <c r="C8" s="424"/>
      <c r="D8" s="21"/>
      <c r="E8" s="295"/>
      <c r="F8" s="385" t="s">
        <v>244</v>
      </c>
      <c r="G8" s="385"/>
      <c r="H8" s="479" t="s">
        <v>245</v>
      </c>
      <c r="I8" s="479" t="s">
        <v>246</v>
      </c>
      <c r="J8" s="469"/>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row>
    <row r="9" spans="1:36" s="204" customFormat="1" ht="14.25" customHeight="1" thickBot="1">
      <c r="A9" s="442">
        <v>2</v>
      </c>
      <c r="C9" s="424"/>
      <c r="D9" s="21"/>
      <c r="E9" s="398"/>
      <c r="F9" s="399" t="s">
        <v>247</v>
      </c>
      <c r="G9" s="399" t="s">
        <v>247</v>
      </c>
      <c r="H9" s="480" t="s">
        <v>248</v>
      </c>
      <c r="I9" s="480" t="s">
        <v>248</v>
      </c>
      <c r="J9" s="469"/>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425"/>
    </row>
    <row r="10" spans="1:36" s="204" customFormat="1" ht="16.5" customHeight="1" thickBot="1">
      <c r="A10" s="442">
        <v>1</v>
      </c>
      <c r="C10" s="424"/>
      <c r="D10" s="19"/>
      <c r="E10" s="295" t="s">
        <v>249</v>
      </c>
      <c r="F10" s="386" t="s">
        <v>250</v>
      </c>
      <c r="G10" s="386" t="s">
        <v>251</v>
      </c>
      <c r="H10" s="386" t="s">
        <v>252</v>
      </c>
      <c r="I10" s="386" t="s">
        <v>253</v>
      </c>
      <c r="J10" s="469"/>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row>
    <row r="11" spans="1:36" s="431" customFormat="1" ht="20.25" customHeight="1" thickBot="1">
      <c r="A11" s="442">
        <v>20</v>
      </c>
      <c r="B11" s="443"/>
      <c r="C11" s="498"/>
      <c r="D11" s="475" t="s">
        <v>254</v>
      </c>
      <c r="E11" s="387"/>
      <c r="F11" s="388"/>
      <c r="G11" s="388"/>
      <c r="H11" s="389"/>
      <c r="I11" s="38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29"/>
    </row>
    <row r="12" spans="1:36" s="433" customFormat="1" ht="15" customHeight="1" thickBot="1">
      <c r="A12" s="442">
        <v>19</v>
      </c>
      <c r="B12" s="204"/>
      <c r="C12" s="499"/>
      <c r="D12" s="476"/>
      <c r="E12" s="404" t="s">
        <v>255</v>
      </c>
      <c r="F12" s="405" t="s">
        <v>256</v>
      </c>
      <c r="G12" s="397" t="s">
        <v>257</v>
      </c>
      <c r="H12" s="406">
        <v>0.13020400000000001</v>
      </c>
      <c r="I12" s="407">
        <v>69.25</v>
      </c>
      <c r="J12" s="470"/>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2"/>
    </row>
    <row r="13" spans="1:36" s="436" customFormat="1" ht="15" customHeight="1" thickBot="1">
      <c r="A13" s="442">
        <v>18</v>
      </c>
      <c r="B13" s="204">
        <v>1</v>
      </c>
      <c r="C13" s="424"/>
      <c r="D13" s="19"/>
      <c r="E13" s="391"/>
      <c r="F13" s="392" t="s">
        <v>256</v>
      </c>
      <c r="G13" s="393" t="s">
        <v>257</v>
      </c>
      <c r="H13" s="390">
        <v>0.130204</v>
      </c>
      <c r="I13" s="297">
        <v>69.25</v>
      </c>
      <c r="J13" s="471"/>
      <c r="K13" s="435"/>
      <c r="L13" s="435"/>
      <c r="M13" s="435"/>
      <c r="N13" s="435"/>
      <c r="O13" s="435"/>
      <c r="P13" s="435"/>
      <c r="Q13" s="435"/>
      <c r="R13" s="435"/>
      <c r="S13" s="435"/>
      <c r="T13" s="435"/>
      <c r="U13" s="435"/>
      <c r="V13" s="435"/>
      <c r="W13" s="435"/>
      <c r="X13" s="435"/>
      <c r="Y13" s="435"/>
      <c r="Z13" s="435"/>
      <c r="AA13" s="435"/>
      <c r="AB13" s="435"/>
      <c r="AC13" s="435"/>
      <c r="AD13" s="435"/>
      <c r="AE13" s="435"/>
      <c r="AF13" s="435"/>
      <c r="AG13" s="435"/>
      <c r="AH13" s="435"/>
      <c r="AI13" s="435"/>
      <c r="AJ13" s="435"/>
    </row>
    <row r="14" spans="1:36" s="436" customFormat="1" ht="15" customHeight="1" thickBot="1">
      <c r="A14" s="442">
        <v>10</v>
      </c>
      <c r="B14" s="204">
        <v>1</v>
      </c>
      <c r="C14" s="424"/>
      <c r="D14" s="19"/>
      <c r="E14" s="391"/>
      <c r="F14" s="392" t="s">
        <v>256</v>
      </c>
      <c r="G14" s="393" t="s">
        <v>259</v>
      </c>
      <c r="H14" s="390">
        <v>0.1404235</v>
      </c>
      <c r="I14" s="297">
        <v>74.01</v>
      </c>
      <c r="J14" s="471"/>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row>
    <row r="15" spans="1:36" s="436" customFormat="1" ht="15" customHeight="1" thickBot="1">
      <c r="A15" s="442">
        <v>2</v>
      </c>
      <c r="B15" s="204">
        <v>1</v>
      </c>
      <c r="C15" s="424"/>
      <c r="D15" s="19"/>
      <c r="E15" s="391"/>
      <c r="F15" s="392" t="s">
        <v>256</v>
      </c>
      <c r="G15" s="393" t="s">
        <v>263</v>
      </c>
      <c r="H15" s="394">
        <v>0.0942</v>
      </c>
      <c r="I15" s="394">
        <v>63.2</v>
      </c>
      <c r="J15" s="471"/>
      <c r="K15" s="435"/>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row>
    <row r="16" spans="1:36" s="436" customFormat="1" ht="15" customHeight="1" thickBot="1">
      <c r="A16" s="442">
        <v>6</v>
      </c>
      <c r="B16" s="204">
        <v>1</v>
      </c>
      <c r="C16" s="424"/>
      <c r="D16" s="19"/>
      <c r="E16" s="391"/>
      <c r="F16" s="392" t="s">
        <v>260</v>
      </c>
      <c r="G16" s="393" t="s">
        <v>261</v>
      </c>
      <c r="H16" s="394">
        <v>0.022801231</v>
      </c>
      <c r="I16" s="395">
        <v>56.06</v>
      </c>
      <c r="J16" s="471"/>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row>
    <row r="17" spans="1:36" s="436" customFormat="1" ht="15" customHeight="1" thickBot="1">
      <c r="A17" s="442">
        <v>5</v>
      </c>
      <c r="B17" s="204">
        <v>1</v>
      </c>
      <c r="C17" s="424"/>
      <c r="D17" s="19"/>
      <c r="E17" s="391"/>
      <c r="F17" s="392" t="s">
        <v>262</v>
      </c>
      <c r="G17" s="393" t="s">
        <v>261</v>
      </c>
      <c r="H17" s="394">
        <v>0.0523</v>
      </c>
      <c r="I17" s="395">
        <v>56.06</v>
      </c>
      <c r="J17" s="471"/>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row>
    <row r="18" spans="1:36" s="436" customFormat="1" ht="15" customHeight="1" thickBot="1">
      <c r="A18" s="442">
        <v>4</v>
      </c>
      <c r="B18" s="204">
        <v>1</v>
      </c>
      <c r="C18" s="424"/>
      <c r="D18" s="19"/>
      <c r="E18" s="391"/>
      <c r="F18" s="392" t="s">
        <v>260</v>
      </c>
      <c r="G18" s="393" t="s">
        <v>263</v>
      </c>
      <c r="H18" s="394">
        <v>0.020856391182073844</v>
      </c>
      <c r="I18" s="394">
        <v>63.2</v>
      </c>
      <c r="J18" s="471"/>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row>
    <row r="19" spans="1:36" s="436" customFormat="1" ht="15" customHeight="1" thickBot="1">
      <c r="A19" s="442">
        <v>3</v>
      </c>
      <c r="B19" s="204">
        <v>1</v>
      </c>
      <c r="C19" s="424"/>
      <c r="D19" s="19"/>
      <c r="E19" s="400"/>
      <c r="F19" s="401" t="s">
        <v>262</v>
      </c>
      <c r="G19" s="402" t="s">
        <v>263</v>
      </c>
      <c r="H19" s="296">
        <v>0.04598</v>
      </c>
      <c r="I19" s="296">
        <v>63.2</v>
      </c>
      <c r="J19" s="471"/>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row>
    <row r="20" spans="1:36" s="204" customFormat="1" ht="12.75" thickBot="1">
      <c r="A20" s="436"/>
      <c r="C20" s="424"/>
      <c r="D20" s="19"/>
      <c r="E20" s="21"/>
      <c r="F20" s="21"/>
      <c r="G20" s="21"/>
      <c r="H20" s="21"/>
      <c r="I20" s="21"/>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row>
    <row r="21" spans="1:36" s="431" customFormat="1" ht="20.25" customHeight="1" thickBot="1">
      <c r="A21" s="442">
        <v>16</v>
      </c>
      <c r="B21" s="443"/>
      <c r="C21" s="498"/>
      <c r="D21" s="475" t="s">
        <v>264</v>
      </c>
      <c r="E21" s="387"/>
      <c r="F21" s="388"/>
      <c r="G21" s="388"/>
      <c r="H21" s="389"/>
      <c r="I21" s="38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row>
    <row r="22" spans="1:36" s="436" customFormat="1" ht="15" customHeight="1" thickBot="1">
      <c r="A22" s="442">
        <v>15</v>
      </c>
      <c r="B22" s="444">
        <v>1</v>
      </c>
      <c r="C22" s="424"/>
      <c r="D22" s="19"/>
      <c r="E22" s="408"/>
      <c r="F22" s="409" t="s">
        <v>256</v>
      </c>
      <c r="G22" s="410" t="s">
        <v>257</v>
      </c>
      <c r="H22" s="411">
        <v>0.13020400000000001</v>
      </c>
      <c r="I22" s="412">
        <v>69.25</v>
      </c>
      <c r="J22" s="471"/>
      <c r="K22" s="435"/>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row>
    <row r="23" spans="1:36" s="436" customFormat="1" ht="15" customHeight="1" thickBot="1">
      <c r="A23" s="442">
        <v>11</v>
      </c>
      <c r="B23" s="444">
        <v>1</v>
      </c>
      <c r="C23" s="424"/>
      <c r="D23" s="19"/>
      <c r="E23" s="391"/>
      <c r="F23" s="392" t="s">
        <v>256</v>
      </c>
      <c r="G23" s="393" t="s">
        <v>259</v>
      </c>
      <c r="H23" s="390">
        <v>0.1404235</v>
      </c>
      <c r="I23" s="297">
        <v>74.01</v>
      </c>
      <c r="J23" s="471"/>
      <c r="K23" s="435"/>
      <c r="L23" s="435"/>
      <c r="M23" s="435"/>
      <c r="N23" s="435"/>
      <c r="O23" s="435"/>
      <c r="P23" s="435"/>
      <c r="Q23" s="435"/>
      <c r="R23" s="435"/>
      <c r="S23" s="435"/>
      <c r="T23" s="435"/>
      <c r="U23" s="435"/>
      <c r="V23" s="435"/>
      <c r="W23" s="435"/>
      <c r="X23" s="435"/>
      <c r="Y23" s="435"/>
      <c r="Z23" s="435"/>
      <c r="AA23" s="435"/>
      <c r="AB23" s="435"/>
      <c r="AC23" s="435"/>
      <c r="AD23" s="435"/>
      <c r="AE23" s="435"/>
      <c r="AF23" s="435"/>
      <c r="AG23" s="435"/>
      <c r="AH23" s="435"/>
      <c r="AI23" s="435"/>
      <c r="AJ23" s="435"/>
    </row>
    <row r="24" spans="1:36" s="436" customFormat="1" ht="15" customHeight="1" thickBot="1">
      <c r="A24" s="442">
        <v>7</v>
      </c>
      <c r="B24" s="444"/>
      <c r="C24" s="424"/>
      <c r="D24" s="19"/>
      <c r="E24" s="391"/>
      <c r="F24" s="392" t="s">
        <v>256</v>
      </c>
      <c r="G24" s="393" t="s">
        <v>265</v>
      </c>
      <c r="H24" s="390">
        <v>0.1434515</v>
      </c>
      <c r="I24" s="297">
        <v>77.3</v>
      </c>
      <c r="J24" s="471"/>
      <c r="K24" s="435"/>
      <c r="L24" s="435"/>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row>
    <row r="25" spans="1:36" s="436" customFormat="1" ht="15" customHeight="1" thickBot="1">
      <c r="A25" s="442">
        <v>3</v>
      </c>
      <c r="B25" s="444">
        <v>1</v>
      </c>
      <c r="C25" s="424"/>
      <c r="D25" s="19"/>
      <c r="E25" s="391"/>
      <c r="F25" s="392" t="s">
        <v>266</v>
      </c>
      <c r="G25" s="393" t="s">
        <v>267</v>
      </c>
      <c r="H25" s="394">
        <v>21.341710000000003</v>
      </c>
      <c r="I25" s="395">
        <v>94.53</v>
      </c>
      <c r="J25" s="471"/>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row>
    <row r="26" spans="1:36" s="436" customFormat="1" ht="15" customHeight="1" thickBot="1">
      <c r="A26" s="442">
        <v>2</v>
      </c>
      <c r="B26" s="444">
        <v>1</v>
      </c>
      <c r="C26" s="424"/>
      <c r="D26" s="19"/>
      <c r="E26" s="400"/>
      <c r="F26" s="401" t="s">
        <v>258</v>
      </c>
      <c r="G26" s="402" t="s">
        <v>267</v>
      </c>
      <c r="H26" s="296">
        <v>23.53</v>
      </c>
      <c r="I26" s="403">
        <v>94.53</v>
      </c>
      <c r="J26" s="471"/>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row>
    <row r="27" spans="1:36" s="431" customFormat="1" ht="20.25" customHeight="1" thickBot="1">
      <c r="A27" s="442">
        <v>16</v>
      </c>
      <c r="B27" s="443"/>
      <c r="C27" s="498"/>
      <c r="D27" s="475" t="s">
        <v>268</v>
      </c>
      <c r="E27" s="396"/>
      <c r="F27" s="388"/>
      <c r="G27" s="388"/>
      <c r="H27" s="389"/>
      <c r="I27" s="38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row>
    <row r="28" spans="1:36" s="436" customFormat="1" ht="15" customHeight="1" thickBot="1">
      <c r="A28" s="442">
        <v>15</v>
      </c>
      <c r="B28" s="444">
        <v>1</v>
      </c>
      <c r="C28" s="424"/>
      <c r="D28" s="19"/>
      <c r="E28" s="408"/>
      <c r="F28" s="409" t="s">
        <v>256</v>
      </c>
      <c r="G28" s="410" t="s">
        <v>257</v>
      </c>
      <c r="H28" s="411">
        <v>0.13020400000000001</v>
      </c>
      <c r="I28" s="412">
        <v>69.25</v>
      </c>
      <c r="J28" s="471"/>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row>
    <row r="29" spans="1:36" s="436" customFormat="1" ht="15" customHeight="1" thickBot="1">
      <c r="A29" s="442">
        <v>11</v>
      </c>
      <c r="B29" s="444">
        <v>1</v>
      </c>
      <c r="C29" s="424"/>
      <c r="D29" s="19"/>
      <c r="E29" s="391"/>
      <c r="F29" s="392" t="s">
        <v>256</v>
      </c>
      <c r="G29" s="393" t="s">
        <v>259</v>
      </c>
      <c r="H29" s="390">
        <v>0.1404235</v>
      </c>
      <c r="I29" s="297">
        <v>74.01</v>
      </c>
      <c r="J29" s="471"/>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row>
    <row r="30" spans="1:36" s="436" customFormat="1" ht="15" customHeight="1" thickBot="1">
      <c r="A30" s="442">
        <v>7</v>
      </c>
      <c r="B30" s="444">
        <v>1</v>
      </c>
      <c r="C30" s="424"/>
      <c r="D30" s="19"/>
      <c r="E30" s="391"/>
      <c r="F30" s="392" t="s">
        <v>256</v>
      </c>
      <c r="G30" s="393" t="s">
        <v>265</v>
      </c>
      <c r="H30" s="390">
        <v>0.1434515</v>
      </c>
      <c r="I30" s="297">
        <v>77.3</v>
      </c>
      <c r="J30" s="471"/>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row>
    <row r="31" spans="1:36" s="436" customFormat="1" ht="15" customHeight="1" thickBot="1">
      <c r="A31" s="442">
        <v>3</v>
      </c>
      <c r="B31" s="444">
        <v>1</v>
      </c>
      <c r="C31" s="424"/>
      <c r="D31" s="19"/>
      <c r="E31" s="391"/>
      <c r="F31" s="392" t="s">
        <v>266</v>
      </c>
      <c r="G31" s="393" t="s">
        <v>267</v>
      </c>
      <c r="H31" s="394">
        <v>21.341710000000003</v>
      </c>
      <c r="I31" s="395">
        <v>94.53</v>
      </c>
      <c r="J31" s="471"/>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row>
    <row r="32" spans="1:36" s="436" customFormat="1" ht="15" customHeight="1" thickBot="1">
      <c r="A32" s="442">
        <v>2</v>
      </c>
      <c r="B32" s="444">
        <v>1</v>
      </c>
      <c r="C32" s="424"/>
      <c r="D32" s="19"/>
      <c r="E32" s="400"/>
      <c r="F32" s="401" t="s">
        <v>258</v>
      </c>
      <c r="G32" s="402" t="s">
        <v>267</v>
      </c>
      <c r="H32" s="296">
        <v>23.53</v>
      </c>
      <c r="I32" s="403">
        <v>94.53</v>
      </c>
      <c r="J32" s="471"/>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row>
    <row r="33" spans="1:36" s="431" customFormat="1" ht="18" customHeight="1" thickBot="1">
      <c r="A33" s="442">
        <v>10</v>
      </c>
      <c r="B33" s="443"/>
      <c r="C33" s="498"/>
      <c r="D33" s="475" t="s">
        <v>994</v>
      </c>
      <c r="E33" s="387"/>
      <c r="F33" s="388"/>
      <c r="G33" s="388"/>
      <c r="H33" s="389"/>
      <c r="I33" s="38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row>
    <row r="34" spans="1:36" s="436" customFormat="1" ht="15" customHeight="1" thickBot="1">
      <c r="A34" s="442">
        <v>9</v>
      </c>
      <c r="B34" s="444">
        <v>1</v>
      </c>
      <c r="C34" s="424"/>
      <c r="D34" s="19"/>
      <c r="E34" s="408"/>
      <c r="F34" s="409" t="s">
        <v>256</v>
      </c>
      <c r="G34" s="410" t="s">
        <v>348</v>
      </c>
      <c r="H34" s="411">
        <v>0.13020400000000001</v>
      </c>
      <c r="I34" s="412">
        <v>69.25</v>
      </c>
      <c r="J34" s="471"/>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5"/>
    </row>
    <row r="35" spans="1:36" s="436" customFormat="1" ht="15" customHeight="1" thickBot="1">
      <c r="A35" s="442">
        <v>5</v>
      </c>
      <c r="B35" s="444">
        <v>1</v>
      </c>
      <c r="C35" s="424"/>
      <c r="D35" s="19"/>
      <c r="E35" s="400"/>
      <c r="F35" s="401" t="s">
        <v>256</v>
      </c>
      <c r="G35" s="402" t="s">
        <v>995</v>
      </c>
      <c r="H35" s="413">
        <v>0.1404235</v>
      </c>
      <c r="I35" s="414">
        <v>74.01</v>
      </c>
      <c r="J35" s="471"/>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row>
    <row r="36" spans="1:38" s="436" customFormat="1" ht="13.5" thickBot="1">
      <c r="A36" s="442">
        <v>1</v>
      </c>
      <c r="B36" s="444"/>
      <c r="C36" s="435"/>
      <c r="D36" s="204"/>
      <c r="E36" s="482" t="s">
        <v>20</v>
      </c>
      <c r="F36" s="438"/>
      <c r="G36" s="434"/>
      <c r="H36" s="435"/>
      <c r="I36" s="439"/>
      <c r="J36" s="435"/>
      <c r="K36" s="435"/>
      <c r="L36" s="435"/>
      <c r="M36" s="471"/>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row>
    <row r="37" spans="1:38" s="431" customFormat="1" ht="20.25" customHeight="1" thickBot="1">
      <c r="A37" s="442">
        <v>1</v>
      </c>
      <c r="B37" s="443"/>
      <c r="C37" s="429"/>
      <c r="D37" s="426"/>
      <c r="E37" s="484" t="s">
        <v>65</v>
      </c>
      <c r="F37" s="440"/>
      <c r="G37" s="429"/>
      <c r="H37" s="429"/>
      <c r="I37" s="428"/>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row>
    <row r="38" spans="1:38" s="486" customFormat="1" ht="12" thickBot="1">
      <c r="A38" s="442"/>
      <c r="B38" s="445"/>
      <c r="C38" s="490"/>
      <c r="D38" s="487"/>
      <c r="E38" s="488"/>
      <c r="F38" s="496" t="s">
        <v>67</v>
      </c>
      <c r="G38" s="492"/>
      <c r="H38" s="492"/>
      <c r="I38" s="497"/>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row>
    <row r="39" spans="1:38" s="486" customFormat="1" ht="12" thickBot="1">
      <c r="A39" s="442"/>
      <c r="B39" s="445"/>
      <c r="C39" s="490"/>
      <c r="D39" s="487"/>
      <c r="E39" s="628" t="s">
        <v>261</v>
      </c>
      <c r="F39" s="629">
        <v>0.2</v>
      </c>
      <c r="G39" s="492"/>
      <c r="H39" s="492"/>
      <c r="I39" s="497"/>
      <c r="J39" s="490"/>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row>
    <row r="40" spans="1:38" s="486" customFormat="1" ht="12" thickBot="1">
      <c r="A40" s="442"/>
      <c r="B40" s="445"/>
      <c r="C40" s="490"/>
      <c r="D40" s="487"/>
      <c r="E40" s="630" t="s">
        <v>263</v>
      </c>
      <c r="F40" s="631">
        <v>15.5</v>
      </c>
      <c r="G40" s="492"/>
      <c r="H40" s="492"/>
      <c r="I40" s="497"/>
      <c r="J40" s="490"/>
      <c r="K40" s="490"/>
      <c r="L40" s="490"/>
      <c r="M40" s="490"/>
      <c r="N40" s="490"/>
      <c r="O40" s="490"/>
      <c r="P40" s="490"/>
      <c r="Q40" s="490"/>
      <c r="R40" s="490"/>
      <c r="S40" s="490"/>
      <c r="T40" s="490"/>
      <c r="U40" s="490"/>
      <c r="V40" s="490"/>
      <c r="W40" s="490"/>
      <c r="X40" s="490"/>
      <c r="Y40" s="490"/>
      <c r="Z40" s="490"/>
      <c r="AA40" s="490"/>
      <c r="AB40" s="490"/>
      <c r="AC40" s="490"/>
      <c r="AD40" s="490"/>
      <c r="AE40" s="490"/>
      <c r="AF40" s="490"/>
      <c r="AG40" s="490"/>
      <c r="AH40" s="490"/>
      <c r="AI40" s="490"/>
      <c r="AJ40" s="490"/>
      <c r="AK40" s="490"/>
      <c r="AL40" s="490"/>
    </row>
    <row r="41" spans="1:38" s="486" customFormat="1" ht="12" thickBot="1">
      <c r="A41" s="442"/>
      <c r="B41" s="445"/>
      <c r="C41" s="490"/>
      <c r="D41" s="487"/>
      <c r="E41" s="630" t="s">
        <v>66</v>
      </c>
      <c r="F41" s="631">
        <v>14.4</v>
      </c>
      <c r="G41" s="492"/>
      <c r="H41" s="492"/>
      <c r="I41" s="497"/>
      <c r="J41" s="490"/>
      <c r="K41" s="490"/>
      <c r="L41" s="490"/>
      <c r="M41" s="490"/>
      <c r="N41" s="490"/>
      <c r="O41" s="490"/>
      <c r="P41" s="490"/>
      <c r="Q41" s="490"/>
      <c r="R41" s="490"/>
      <c r="S41" s="490"/>
      <c r="T41" s="490"/>
      <c r="U41" s="490"/>
      <c r="V41" s="490"/>
      <c r="W41" s="490"/>
      <c r="X41" s="490"/>
      <c r="Y41" s="490"/>
      <c r="Z41" s="490"/>
      <c r="AA41" s="490"/>
      <c r="AB41" s="490"/>
      <c r="AC41" s="490"/>
      <c r="AD41" s="490"/>
      <c r="AE41" s="490"/>
      <c r="AF41" s="490"/>
      <c r="AG41" s="490"/>
      <c r="AH41" s="490"/>
      <c r="AI41" s="490"/>
      <c r="AJ41" s="490"/>
      <c r="AK41" s="490"/>
      <c r="AL41" s="490"/>
    </row>
    <row r="42" spans="1:38" s="486" customFormat="1" ht="12" thickBot="1">
      <c r="A42" s="442"/>
      <c r="B42" s="445"/>
      <c r="C42" s="490"/>
      <c r="D42" s="487"/>
      <c r="E42" s="630" t="s">
        <v>5</v>
      </c>
      <c r="F42" s="631">
        <v>18.3</v>
      </c>
      <c r="G42" s="492"/>
      <c r="H42" s="492"/>
      <c r="I42" s="497"/>
      <c r="J42" s="490"/>
      <c r="K42" s="490"/>
      <c r="L42" s="490"/>
      <c r="M42" s="490"/>
      <c r="N42" s="490"/>
      <c r="O42" s="490"/>
      <c r="P42" s="490"/>
      <c r="Q42" s="490"/>
      <c r="R42" s="490"/>
      <c r="S42" s="490"/>
      <c r="T42" s="490"/>
      <c r="U42" s="490"/>
      <c r="V42" s="490"/>
      <c r="W42" s="490"/>
      <c r="X42" s="490"/>
      <c r="Y42" s="490"/>
      <c r="Z42" s="490"/>
      <c r="AA42" s="490"/>
      <c r="AB42" s="490"/>
      <c r="AC42" s="490"/>
      <c r="AD42" s="490"/>
      <c r="AE42" s="490"/>
      <c r="AF42" s="490"/>
      <c r="AG42" s="490"/>
      <c r="AH42" s="490"/>
      <c r="AI42" s="490"/>
      <c r="AJ42" s="490"/>
      <c r="AK42" s="490"/>
      <c r="AL42" s="490"/>
    </row>
    <row r="43" spans="1:38" s="486" customFormat="1" ht="12" thickBot="1">
      <c r="A43" s="442"/>
      <c r="B43" s="445"/>
      <c r="C43" s="490"/>
      <c r="D43" s="487"/>
      <c r="E43" s="630" t="s">
        <v>6</v>
      </c>
      <c r="F43" s="631">
        <v>18.1</v>
      </c>
      <c r="G43" s="492"/>
      <c r="H43" s="492"/>
      <c r="I43" s="497"/>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c r="AI43" s="490"/>
      <c r="AJ43" s="490"/>
      <c r="AK43" s="490"/>
      <c r="AL43" s="490"/>
    </row>
    <row r="44" spans="1:38" s="486" customFormat="1" ht="12" thickBot="1">
      <c r="A44" s="442">
        <v>530</v>
      </c>
      <c r="B44" s="445"/>
      <c r="C44" s="490"/>
      <c r="D44" s="487"/>
      <c r="E44" s="630" t="s">
        <v>7</v>
      </c>
      <c r="F44" s="631">
        <v>17.4</v>
      </c>
      <c r="G44" s="497"/>
      <c r="H44" s="497"/>
      <c r="I44" s="492"/>
      <c r="J44" s="490"/>
      <c r="K44" s="493"/>
      <c r="L44" s="490"/>
      <c r="M44" s="494"/>
      <c r="N44" s="495"/>
      <c r="O44" s="490"/>
      <c r="P44" s="490"/>
      <c r="Q44" s="490"/>
      <c r="R44" s="490"/>
      <c r="S44" s="490"/>
      <c r="T44" s="490"/>
      <c r="U44" s="490"/>
      <c r="V44" s="490"/>
      <c r="W44" s="490"/>
      <c r="X44" s="490"/>
      <c r="Y44" s="490"/>
      <c r="Z44" s="490"/>
      <c r="AA44" s="490"/>
      <c r="AB44" s="490"/>
      <c r="AC44" s="490"/>
      <c r="AD44" s="490"/>
      <c r="AE44" s="490"/>
      <c r="AF44" s="490"/>
      <c r="AG44" s="490"/>
      <c r="AH44" s="490"/>
      <c r="AI44" s="490"/>
      <c r="AJ44" s="490"/>
      <c r="AK44" s="490"/>
      <c r="AL44" s="490"/>
    </row>
    <row r="45" spans="1:14" s="490" customFormat="1" ht="12" thickBot="1">
      <c r="A45" s="442"/>
      <c r="B45" s="485"/>
      <c r="D45" s="488"/>
      <c r="E45" s="632" t="s">
        <v>8</v>
      </c>
      <c r="F45" s="633">
        <v>17.2</v>
      </c>
      <c r="G45" s="497"/>
      <c r="H45" s="497"/>
      <c r="I45" s="492"/>
      <c r="K45" s="493"/>
      <c r="M45" s="494"/>
      <c r="N45" s="495"/>
    </row>
    <row r="46" spans="1:14" s="490" customFormat="1" ht="12" thickBot="1">
      <c r="A46" s="442"/>
      <c r="B46" s="485"/>
      <c r="D46" s="488"/>
      <c r="E46" s="492" t="s">
        <v>10</v>
      </c>
      <c r="F46" s="489"/>
      <c r="G46" s="491"/>
      <c r="H46" s="491"/>
      <c r="K46" s="493"/>
      <c r="M46" s="494"/>
      <c r="N46" s="495"/>
    </row>
    <row r="47" spans="1:14" s="429" customFormat="1" ht="20.25" customHeight="1" thickBot="1">
      <c r="A47" s="442"/>
      <c r="B47" s="485"/>
      <c r="D47" s="484"/>
      <c r="E47" s="427"/>
      <c r="F47" s="440"/>
      <c r="G47" s="428"/>
      <c r="H47" s="428"/>
      <c r="K47" s="441"/>
      <c r="M47" s="430"/>
      <c r="N47" s="472"/>
    </row>
    <row r="48" spans="1:38" s="204" customFormat="1" ht="15" customHeight="1" thickBot="1">
      <c r="A48" s="442">
        <v>529</v>
      </c>
      <c r="E48" s="446" t="s">
        <v>271</v>
      </c>
      <c r="F48" s="447"/>
      <c r="G48" s="446"/>
      <c r="H48" s="446"/>
      <c r="I48" s="446"/>
      <c r="K48" s="448"/>
      <c r="L48" s="425"/>
      <c r="M48" s="425"/>
      <c r="N48" s="473"/>
      <c r="O48" s="469"/>
      <c r="P48" s="425"/>
      <c r="Q48" s="425"/>
      <c r="R48" s="425"/>
      <c r="S48" s="425"/>
      <c r="T48" s="425"/>
      <c r="U48" s="425"/>
      <c r="V48" s="425"/>
      <c r="W48" s="425"/>
      <c r="X48" s="425"/>
      <c r="Y48" s="425"/>
      <c r="Z48" s="425"/>
      <c r="AA48" s="425"/>
      <c r="AB48" s="425"/>
      <c r="AC48" s="425"/>
      <c r="AD48" s="425"/>
      <c r="AE48" s="425"/>
      <c r="AF48" s="425"/>
      <c r="AG48" s="425"/>
      <c r="AH48" s="425"/>
      <c r="AI48" s="425"/>
      <c r="AJ48" s="425"/>
      <c r="AK48" s="425"/>
      <c r="AL48" s="425"/>
    </row>
    <row r="49" spans="1:38" s="20" customFormat="1" ht="15" customHeight="1" thickBot="1">
      <c r="A49" s="442">
        <v>528</v>
      </c>
      <c r="E49" s="87"/>
      <c r="F49" s="449"/>
      <c r="K49" s="449"/>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row>
    <row r="50" spans="1:38" s="20" customFormat="1" ht="15" customHeight="1" thickBot="1">
      <c r="A50" s="442">
        <v>527</v>
      </c>
      <c r="E50" s="625" t="s">
        <v>272</v>
      </c>
      <c r="F50" s="626"/>
      <c r="G50" s="450"/>
      <c r="H50" s="451"/>
      <c r="I50" s="451"/>
      <c r="J50" s="451"/>
      <c r="K50" s="451"/>
      <c r="L50" s="452"/>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row>
    <row r="51" spans="1:38" s="20" customFormat="1" ht="37.5" customHeight="1" thickBot="1">
      <c r="A51" s="442">
        <v>526</v>
      </c>
      <c r="E51" s="625"/>
      <c r="F51" s="627" t="s">
        <v>273</v>
      </c>
      <c r="G51" s="453"/>
      <c r="H51" s="454"/>
      <c r="I51" s="454"/>
      <c r="J51" s="454"/>
      <c r="K51" s="454"/>
      <c r="L51" s="455"/>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row>
    <row r="52" spans="1:38" s="20" customFormat="1" ht="15" customHeight="1" thickBot="1">
      <c r="A52" s="442">
        <v>525</v>
      </c>
      <c r="E52" s="625"/>
      <c r="F52" s="627"/>
      <c r="G52" s="453"/>
      <c r="H52" s="454"/>
      <c r="I52" s="454"/>
      <c r="J52" s="454"/>
      <c r="K52" s="454"/>
      <c r="L52" s="455"/>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row>
    <row r="53" spans="1:38" s="20" customFormat="1" ht="15" customHeight="1" thickBot="1">
      <c r="A53" s="442">
        <v>524</v>
      </c>
      <c r="E53" s="620" t="s">
        <v>274</v>
      </c>
      <c r="F53" s="621">
        <v>69.25</v>
      </c>
      <c r="G53" s="456"/>
      <c r="H53" s="457"/>
      <c r="I53" s="457"/>
      <c r="J53" s="458"/>
      <c r="K53" s="457"/>
      <c r="L53" s="459"/>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row>
    <row r="54" spans="1:38" s="204" customFormat="1" ht="15" customHeight="1" thickBot="1">
      <c r="A54" s="442">
        <v>523</v>
      </c>
      <c r="E54" s="620" t="s">
        <v>275</v>
      </c>
      <c r="F54" s="621">
        <v>71.45</v>
      </c>
      <c r="G54" s="456"/>
      <c r="H54" s="457"/>
      <c r="I54" s="457"/>
      <c r="J54" s="458"/>
      <c r="K54" s="457"/>
      <c r="L54" s="459"/>
      <c r="M54" s="425"/>
      <c r="N54" s="425"/>
      <c r="O54" s="425"/>
      <c r="P54" s="425"/>
      <c r="Q54" s="425"/>
      <c r="R54" s="425"/>
      <c r="S54" s="425"/>
      <c r="T54" s="425"/>
      <c r="U54" s="425"/>
      <c r="V54" s="425"/>
      <c r="W54" s="425"/>
      <c r="X54" s="425"/>
      <c r="Y54" s="425"/>
      <c r="Z54" s="425"/>
      <c r="AA54" s="425"/>
      <c r="AB54" s="425"/>
      <c r="AC54" s="425"/>
      <c r="AD54" s="425"/>
      <c r="AE54" s="425"/>
      <c r="AF54" s="425"/>
      <c r="AG54" s="425"/>
      <c r="AH54" s="425"/>
      <c r="AI54" s="425"/>
      <c r="AJ54" s="425"/>
      <c r="AK54" s="425"/>
      <c r="AL54" s="425"/>
    </row>
    <row r="55" spans="1:38" s="204" customFormat="1" ht="15" customHeight="1" thickBot="1">
      <c r="A55" s="442">
        <v>522</v>
      </c>
      <c r="E55" s="622" t="s">
        <v>276</v>
      </c>
      <c r="F55" s="621" t="s">
        <v>277</v>
      </c>
      <c r="G55" s="456"/>
      <c r="H55" s="458"/>
      <c r="I55" s="458"/>
      <c r="J55" s="458"/>
      <c r="K55" s="460"/>
      <c r="L55" s="459"/>
      <c r="M55" s="425"/>
      <c r="N55" s="425"/>
      <c r="O55" s="425"/>
      <c r="P55" s="425"/>
      <c r="Q55" s="425"/>
      <c r="R55" s="425"/>
      <c r="S55" s="425"/>
      <c r="T55" s="425"/>
      <c r="U55" s="425"/>
      <c r="V55" s="425"/>
      <c r="W55" s="425"/>
      <c r="X55" s="425"/>
      <c r="Y55" s="425"/>
      <c r="Z55" s="425"/>
      <c r="AA55" s="425"/>
      <c r="AB55" s="425"/>
      <c r="AC55" s="425"/>
      <c r="AD55" s="425"/>
      <c r="AE55" s="425"/>
      <c r="AF55" s="425"/>
      <c r="AG55" s="425"/>
      <c r="AH55" s="425"/>
      <c r="AI55" s="425"/>
      <c r="AJ55" s="425"/>
      <c r="AK55" s="425"/>
      <c r="AL55" s="425"/>
    </row>
    <row r="56" spans="1:38" s="204" customFormat="1" ht="15" customHeight="1" thickBot="1">
      <c r="A56" s="442">
        <v>521</v>
      </c>
      <c r="E56" s="622" t="s">
        <v>278</v>
      </c>
      <c r="F56" s="621" t="s">
        <v>279</v>
      </c>
      <c r="G56" s="456"/>
      <c r="H56" s="457"/>
      <c r="I56" s="457"/>
      <c r="J56" s="458"/>
      <c r="K56" s="458"/>
      <c r="L56" s="459"/>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row>
    <row r="57" spans="1:38" s="204" customFormat="1" ht="15" customHeight="1" thickBot="1">
      <c r="A57" s="442">
        <v>520</v>
      </c>
      <c r="E57" s="622" t="s">
        <v>259</v>
      </c>
      <c r="F57" s="621">
        <v>74.01</v>
      </c>
      <c r="G57" s="456"/>
      <c r="H57" s="457"/>
      <c r="I57" s="457"/>
      <c r="J57" s="458"/>
      <c r="K57" s="457"/>
      <c r="L57" s="459"/>
      <c r="M57" s="425"/>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row>
    <row r="58" spans="1:38" s="204" customFormat="1" ht="15" customHeight="1" thickBot="1">
      <c r="A58" s="442">
        <v>519</v>
      </c>
      <c r="E58" s="620" t="s">
        <v>280</v>
      </c>
      <c r="F58" s="621">
        <v>74.01</v>
      </c>
      <c r="G58" s="456"/>
      <c r="H58" s="457"/>
      <c r="I58" s="457"/>
      <c r="J58" s="458"/>
      <c r="K58" s="457"/>
      <c r="L58" s="459"/>
      <c r="M58" s="425"/>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row>
    <row r="59" spans="1:38" s="204" customFormat="1" ht="15" customHeight="1" thickBot="1">
      <c r="A59" s="442">
        <v>518</v>
      </c>
      <c r="E59" s="620" t="s">
        <v>281</v>
      </c>
      <c r="F59" s="621">
        <v>74.01</v>
      </c>
      <c r="G59" s="456"/>
      <c r="H59" s="457"/>
      <c r="I59" s="457"/>
      <c r="J59" s="458"/>
      <c r="K59" s="457"/>
      <c r="L59" s="459"/>
      <c r="M59" s="87"/>
      <c r="N59" s="87"/>
      <c r="O59" s="87"/>
      <c r="P59" s="425"/>
      <c r="Q59" s="425"/>
      <c r="R59" s="425"/>
      <c r="S59" s="425"/>
      <c r="T59" s="425"/>
      <c r="U59" s="425"/>
      <c r="V59" s="425"/>
      <c r="W59" s="425"/>
      <c r="X59" s="425"/>
      <c r="Y59" s="425"/>
      <c r="Z59" s="425"/>
      <c r="AA59" s="425"/>
      <c r="AB59" s="425"/>
      <c r="AC59" s="425"/>
      <c r="AD59" s="425"/>
      <c r="AE59" s="425"/>
      <c r="AF59" s="425"/>
      <c r="AG59" s="425"/>
      <c r="AH59" s="425"/>
      <c r="AI59" s="425"/>
      <c r="AJ59" s="425"/>
      <c r="AK59" s="425"/>
      <c r="AL59" s="425"/>
    </row>
    <row r="60" spans="1:38" s="204" customFormat="1" ht="15" customHeight="1" thickBot="1">
      <c r="A60" s="442">
        <v>517</v>
      </c>
      <c r="E60" s="620" t="s">
        <v>282</v>
      </c>
      <c r="F60" s="621">
        <v>74.01</v>
      </c>
      <c r="G60" s="456"/>
      <c r="H60" s="457"/>
      <c r="I60" s="457"/>
      <c r="J60" s="458"/>
      <c r="K60" s="457"/>
      <c r="L60" s="459"/>
      <c r="M60" s="87"/>
      <c r="N60" s="87"/>
      <c r="O60" s="87"/>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row>
    <row r="61" spans="1:38" s="204" customFormat="1" ht="15" customHeight="1" thickBot="1">
      <c r="A61" s="442">
        <v>516</v>
      </c>
      <c r="E61" s="620" t="s">
        <v>283</v>
      </c>
      <c r="F61" s="621">
        <v>77.3</v>
      </c>
      <c r="G61" s="456"/>
      <c r="H61" s="457"/>
      <c r="I61" s="457"/>
      <c r="J61" s="458"/>
      <c r="K61" s="457"/>
      <c r="L61" s="459"/>
      <c r="M61" s="87"/>
      <c r="N61" s="87"/>
      <c r="O61" s="87"/>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5"/>
    </row>
    <row r="62" spans="1:38" s="204" customFormat="1" ht="15" customHeight="1" thickBot="1">
      <c r="A62" s="442">
        <v>515</v>
      </c>
      <c r="E62" s="620" t="s">
        <v>284</v>
      </c>
      <c r="F62" s="621">
        <v>77.3</v>
      </c>
      <c r="G62" s="456"/>
      <c r="H62" s="457"/>
      <c r="I62" s="457"/>
      <c r="J62" s="458"/>
      <c r="K62" s="457"/>
      <c r="L62" s="459"/>
      <c r="M62" s="425"/>
      <c r="N62" s="425"/>
      <c r="O62" s="474"/>
      <c r="P62" s="425"/>
      <c r="Q62" s="425"/>
      <c r="R62" s="425"/>
      <c r="S62" s="425"/>
      <c r="T62" s="425"/>
      <c r="U62" s="425"/>
      <c r="V62" s="425"/>
      <c r="W62" s="425"/>
      <c r="X62" s="425"/>
      <c r="Y62" s="425"/>
      <c r="Z62" s="425"/>
      <c r="AA62" s="425"/>
      <c r="AB62" s="425"/>
      <c r="AC62" s="425"/>
      <c r="AD62" s="425"/>
      <c r="AE62" s="425"/>
      <c r="AF62" s="425"/>
      <c r="AG62" s="425"/>
      <c r="AH62" s="425"/>
      <c r="AI62" s="425"/>
      <c r="AJ62" s="425"/>
      <c r="AK62" s="425"/>
      <c r="AL62" s="425"/>
    </row>
    <row r="63" spans="1:15" s="204" customFormat="1" ht="15" customHeight="1" thickBot="1">
      <c r="A63" s="442">
        <v>514</v>
      </c>
      <c r="E63" s="620" t="s">
        <v>263</v>
      </c>
      <c r="F63" s="621">
        <v>63.2</v>
      </c>
      <c r="G63" s="456"/>
      <c r="H63" s="457"/>
      <c r="I63" s="457"/>
      <c r="J63" s="458"/>
      <c r="K63" s="457"/>
      <c r="L63" s="459"/>
      <c r="O63" s="461"/>
    </row>
    <row r="64" spans="1:15" s="204" customFormat="1" ht="15" customHeight="1" thickBot="1">
      <c r="A64" s="442">
        <v>513</v>
      </c>
      <c r="E64" s="623" t="s">
        <v>285</v>
      </c>
      <c r="F64" s="621">
        <v>73.28</v>
      </c>
      <c r="G64" s="456"/>
      <c r="H64" s="458"/>
      <c r="I64" s="458"/>
      <c r="J64" s="458"/>
      <c r="K64" s="458"/>
      <c r="L64" s="459"/>
      <c r="O64" s="461"/>
    </row>
    <row r="65" spans="1:15" s="204" customFormat="1" ht="15" customHeight="1" thickBot="1">
      <c r="A65" s="442">
        <v>512</v>
      </c>
      <c r="E65" s="623" t="s">
        <v>286</v>
      </c>
      <c r="F65" s="621">
        <v>98.3</v>
      </c>
      <c r="G65" s="456"/>
      <c r="H65" s="458"/>
      <c r="I65" s="458"/>
      <c r="J65" s="458"/>
      <c r="K65" s="460"/>
      <c r="L65" s="459"/>
      <c r="O65" s="461"/>
    </row>
    <row r="66" spans="1:15" s="204" customFormat="1" ht="15" customHeight="1" thickBot="1">
      <c r="A66" s="442">
        <v>511</v>
      </c>
      <c r="E66" s="623" t="s">
        <v>287</v>
      </c>
      <c r="F66" s="621">
        <v>94.53</v>
      </c>
      <c r="G66" s="456"/>
      <c r="H66" s="458"/>
      <c r="I66" s="458"/>
      <c r="J66" s="458"/>
      <c r="K66" s="460"/>
      <c r="L66" s="459"/>
      <c r="O66" s="461"/>
    </row>
    <row r="67" spans="1:15" s="204" customFormat="1" ht="15" customHeight="1" thickBot="1">
      <c r="A67" s="442">
        <v>510</v>
      </c>
      <c r="E67" s="623" t="s">
        <v>288</v>
      </c>
      <c r="F67" s="624"/>
      <c r="G67" s="456"/>
      <c r="H67" s="458"/>
      <c r="I67" s="458"/>
      <c r="J67" s="458"/>
      <c r="K67" s="458"/>
      <c r="L67" s="459"/>
      <c r="O67" s="461"/>
    </row>
    <row r="68" spans="1:15" s="204" customFormat="1" ht="15" customHeight="1" thickBot="1">
      <c r="A68" s="442">
        <v>509</v>
      </c>
      <c r="E68" s="623" t="s">
        <v>289</v>
      </c>
      <c r="F68" s="621" t="s">
        <v>290</v>
      </c>
      <c r="G68" s="456"/>
      <c r="H68" s="458"/>
      <c r="I68" s="458"/>
      <c r="J68" s="458"/>
      <c r="K68" s="457"/>
      <c r="L68" s="459"/>
      <c r="O68" s="461"/>
    </row>
    <row r="69" spans="1:15" s="204" customFormat="1" ht="15" customHeight="1" thickBot="1">
      <c r="A69" s="442">
        <v>508</v>
      </c>
      <c r="E69" s="623" t="s">
        <v>291</v>
      </c>
      <c r="F69" s="621">
        <v>96</v>
      </c>
      <c r="G69" s="456"/>
      <c r="H69" s="458"/>
      <c r="I69" s="458"/>
      <c r="J69" s="458"/>
      <c r="K69" s="462"/>
      <c r="L69" s="459"/>
      <c r="O69" s="461"/>
    </row>
    <row r="70" spans="1:15" s="204" customFormat="1" ht="15" customHeight="1" thickBot="1">
      <c r="A70" s="442">
        <v>507</v>
      </c>
      <c r="E70" s="623" t="s">
        <v>292</v>
      </c>
      <c r="F70" s="621" t="s">
        <v>293</v>
      </c>
      <c r="G70" s="456"/>
      <c r="H70" s="458"/>
      <c r="I70" s="458"/>
      <c r="J70" s="458"/>
      <c r="K70" s="458"/>
      <c r="L70" s="459"/>
      <c r="O70" s="461"/>
    </row>
    <row r="71" spans="1:15" s="204" customFormat="1" ht="15" customHeight="1" thickBot="1">
      <c r="A71" s="442">
        <v>506</v>
      </c>
      <c r="E71" s="623" t="s">
        <v>294</v>
      </c>
      <c r="F71" s="621">
        <v>56.06</v>
      </c>
      <c r="G71" s="463"/>
      <c r="H71" s="464"/>
      <c r="I71" s="464"/>
      <c r="J71" s="464"/>
      <c r="K71" s="464"/>
      <c r="L71" s="459"/>
      <c r="O71" s="461"/>
    </row>
    <row r="72" spans="1:14" s="204" customFormat="1" ht="15" customHeight="1" thickBot="1">
      <c r="A72" s="442">
        <v>505</v>
      </c>
      <c r="E72" s="465"/>
      <c r="F72" s="466"/>
      <c r="G72" s="425"/>
      <c r="H72" s="425"/>
      <c r="I72" s="425"/>
      <c r="J72" s="425"/>
      <c r="K72" s="466"/>
      <c r="L72" s="425"/>
      <c r="N72" s="461"/>
    </row>
    <row r="73" spans="1:14" s="204" customFormat="1" ht="15" customHeight="1" thickBot="1">
      <c r="A73" s="442">
        <v>504</v>
      </c>
      <c r="E73" s="465"/>
      <c r="F73" s="448"/>
      <c r="K73" s="448"/>
      <c r="N73" s="461"/>
    </row>
    <row r="74" spans="1:14" s="204" customFormat="1" ht="15" customHeight="1" thickBot="1">
      <c r="A74" s="442">
        <v>503</v>
      </c>
      <c r="F74" s="448"/>
      <c r="K74" s="448"/>
      <c r="N74" s="461"/>
    </row>
    <row r="75" spans="1:15" s="204" customFormat="1" ht="15" customHeight="1" thickBot="1">
      <c r="A75" s="442">
        <v>502</v>
      </c>
      <c r="E75" s="467"/>
      <c r="F75" s="468"/>
      <c r="G75" s="468"/>
      <c r="H75" s="468"/>
      <c r="I75" s="468"/>
      <c r="J75" s="468"/>
      <c r="K75" s="468"/>
      <c r="L75" s="468"/>
      <c r="M75" s="468"/>
      <c r="N75" s="468"/>
      <c r="O75" s="468"/>
    </row>
    <row r="76" spans="1:15" s="204" customFormat="1" ht="15" customHeight="1" thickBot="1">
      <c r="A76" s="442">
        <v>501</v>
      </c>
      <c r="E76" s="315"/>
      <c r="F76" s="468"/>
      <c r="G76" s="468"/>
      <c r="H76" s="468"/>
      <c r="I76" s="468"/>
      <c r="J76" s="468"/>
      <c r="K76" s="468"/>
      <c r="L76" s="468"/>
      <c r="M76" s="468"/>
      <c r="N76" s="468"/>
      <c r="O76" s="468"/>
    </row>
    <row r="77" spans="1:15" s="204" customFormat="1" ht="28.5" customHeight="1" thickBot="1">
      <c r="A77" s="442">
        <v>500</v>
      </c>
      <c r="E77" s="612" t="s">
        <v>272</v>
      </c>
      <c r="F77" s="613" t="s">
        <v>295</v>
      </c>
      <c r="G77" s="612" t="s">
        <v>296</v>
      </c>
      <c r="H77" s="612" t="s">
        <v>297</v>
      </c>
      <c r="I77" s="612" t="s">
        <v>297</v>
      </c>
      <c r="J77" s="612" t="s">
        <v>297</v>
      </c>
      <c r="K77" s="612" t="s">
        <v>297</v>
      </c>
      <c r="L77" s="612" t="s">
        <v>297</v>
      </c>
      <c r="M77" s="614" t="s">
        <v>298</v>
      </c>
      <c r="N77" s="615" t="s">
        <v>299</v>
      </c>
      <c r="O77" s="612" t="s">
        <v>300</v>
      </c>
    </row>
    <row r="78" spans="1:15" s="204" customFormat="1" ht="31.5" customHeight="1" thickBot="1">
      <c r="A78" s="442">
        <v>499</v>
      </c>
      <c r="E78" s="616"/>
      <c r="F78" s="617" t="s">
        <v>301</v>
      </c>
      <c r="G78" s="616" t="s">
        <v>302</v>
      </c>
      <c r="H78" s="616" t="s">
        <v>303</v>
      </c>
      <c r="I78" s="616" t="s">
        <v>304</v>
      </c>
      <c r="J78" s="616" t="s">
        <v>305</v>
      </c>
      <c r="K78" s="616" t="s">
        <v>306</v>
      </c>
      <c r="L78" s="616" t="s">
        <v>307</v>
      </c>
      <c r="M78" s="618" t="s">
        <v>308</v>
      </c>
      <c r="N78" s="619" t="s">
        <v>309</v>
      </c>
      <c r="O78" s="616" t="s">
        <v>310</v>
      </c>
    </row>
    <row r="79" spans="1:15" s="204" customFormat="1" ht="15" customHeight="1" thickBot="1">
      <c r="A79" s="442">
        <v>498</v>
      </c>
      <c r="E79" s="603" t="s">
        <v>274</v>
      </c>
      <c r="F79" s="603">
        <v>69.25</v>
      </c>
      <c r="G79" s="604">
        <v>0.0344</v>
      </c>
      <c r="H79" s="605">
        <f aca="true" t="shared" si="0" ref="H79:H89">3.785*G79</f>
        <v>0.13020400000000001</v>
      </c>
      <c r="I79" s="605">
        <f>4.546*G79</f>
        <v>0.1563824</v>
      </c>
      <c r="J79" s="605">
        <f>(H79/M79)*2000/0.907</f>
        <v>43.56739773101807</v>
      </c>
      <c r="K79" s="604">
        <f>F79*G79</f>
        <v>2.3822</v>
      </c>
      <c r="L79" s="605">
        <f>3.785*K79</f>
        <v>9.016627000000002</v>
      </c>
      <c r="M79" s="606">
        <v>6.59</v>
      </c>
      <c r="N79" s="607">
        <v>0.739</v>
      </c>
      <c r="O79" s="608">
        <v>3135</v>
      </c>
    </row>
    <row r="80" spans="1:15" s="204" customFormat="1" ht="15" customHeight="1" thickBot="1">
      <c r="A80" s="442">
        <v>497</v>
      </c>
      <c r="E80" s="589" t="s">
        <v>275</v>
      </c>
      <c r="F80" s="589">
        <v>71.45</v>
      </c>
      <c r="G80" s="590">
        <v>0.0357</v>
      </c>
      <c r="H80" s="591">
        <f t="shared" si="0"/>
        <v>0.1351245</v>
      </c>
      <c r="I80" s="591">
        <f>4.546*G80</f>
        <v>0.16229220000000003</v>
      </c>
      <c r="J80" s="591">
        <f>(H80/M80)*2000/0.907</f>
        <v>44.076805647071104</v>
      </c>
      <c r="K80" s="590">
        <f>F80*G80</f>
        <v>2.550765</v>
      </c>
      <c r="L80" s="591">
        <f>3.785*K80</f>
        <v>9.654645525000001</v>
      </c>
      <c r="M80" s="592">
        <v>6.76</v>
      </c>
      <c r="N80" s="594"/>
      <c r="O80" s="396">
        <v>3150</v>
      </c>
    </row>
    <row r="81" spans="1:15" s="204" customFormat="1" ht="15" customHeight="1" thickBot="1">
      <c r="A81" s="442">
        <v>496</v>
      </c>
      <c r="E81" s="595" t="s">
        <v>276</v>
      </c>
      <c r="F81" s="589" t="s">
        <v>277</v>
      </c>
      <c r="G81" s="590"/>
      <c r="H81" s="590"/>
      <c r="I81" s="590"/>
      <c r="J81" s="590">
        <v>44.59</v>
      </c>
      <c r="K81" s="590"/>
      <c r="L81" s="596">
        <f>1.025*9.7653</f>
        <v>10.009432499999999</v>
      </c>
      <c r="M81" s="592"/>
      <c r="N81" s="593">
        <v>0.78</v>
      </c>
      <c r="O81" s="390"/>
    </row>
    <row r="82" spans="1:15" s="204" customFormat="1" ht="15" customHeight="1" thickBot="1">
      <c r="A82" s="442">
        <v>495</v>
      </c>
      <c r="E82" s="595" t="s">
        <v>278</v>
      </c>
      <c r="F82" s="589" t="s">
        <v>279</v>
      </c>
      <c r="G82" s="590">
        <f>69.11/69.25*G79</f>
        <v>0.03433045487364621</v>
      </c>
      <c r="H82" s="591">
        <f t="shared" si="0"/>
        <v>0.1299407716967509</v>
      </c>
      <c r="I82" s="591">
        <f aca="true" t="shared" si="1" ref="I82:I89">4.546*G82</f>
        <v>0.15606624785559567</v>
      </c>
      <c r="J82" s="590"/>
      <c r="K82" s="590">
        <f>69.11/69.25*K79</f>
        <v>2.377384</v>
      </c>
      <c r="L82" s="591">
        <f aca="true" t="shared" si="2" ref="L82:L89">3.785*K82</f>
        <v>8.99839844</v>
      </c>
      <c r="M82" s="592"/>
      <c r="N82" s="594"/>
      <c r="O82" s="396"/>
    </row>
    <row r="83" spans="1:15" s="204" customFormat="1" ht="15" customHeight="1" thickBot="1">
      <c r="A83" s="442">
        <v>494</v>
      </c>
      <c r="E83" s="595" t="s">
        <v>259</v>
      </c>
      <c r="F83" s="589">
        <v>74.01</v>
      </c>
      <c r="G83" s="590">
        <v>0.0371</v>
      </c>
      <c r="H83" s="591">
        <f t="shared" si="0"/>
        <v>0.1404235</v>
      </c>
      <c r="I83" s="591">
        <f t="shared" si="1"/>
        <v>0.16865660000000002</v>
      </c>
      <c r="J83" s="591">
        <f>1000*G83*(1/N83)</f>
        <v>44.16666666666667</v>
      </c>
      <c r="K83" s="590">
        <f aca="true" t="shared" si="3" ref="K83:K89">F83*G83</f>
        <v>2.7457710000000004</v>
      </c>
      <c r="L83" s="591">
        <f t="shared" si="2"/>
        <v>10.392743235000001</v>
      </c>
      <c r="M83" s="592">
        <f>N83/N79*M79</f>
        <v>7.4906630581867395</v>
      </c>
      <c r="N83" s="593">
        <v>0.84</v>
      </c>
      <c r="O83" s="396">
        <v>3142</v>
      </c>
    </row>
    <row r="84" spans="1:15" s="204" customFormat="1" ht="15" customHeight="1" thickBot="1">
      <c r="A84" s="442">
        <v>493</v>
      </c>
      <c r="E84" s="589" t="s">
        <v>280</v>
      </c>
      <c r="F84" s="589">
        <v>74.01</v>
      </c>
      <c r="G84" s="590">
        <v>0.0371</v>
      </c>
      <c r="H84" s="591">
        <f t="shared" si="0"/>
        <v>0.1404235</v>
      </c>
      <c r="I84" s="591">
        <f t="shared" si="1"/>
        <v>0.16865660000000002</v>
      </c>
      <c r="J84" s="591">
        <f>(H84/M84)*2000/0.907</f>
        <v>43.92111786186243</v>
      </c>
      <c r="K84" s="590">
        <f t="shared" si="3"/>
        <v>2.7457710000000004</v>
      </c>
      <c r="L84" s="591">
        <f t="shared" si="2"/>
        <v>10.392743235000001</v>
      </c>
      <c r="M84" s="592">
        <v>7.05</v>
      </c>
      <c r="N84" s="594"/>
      <c r="O84" s="396">
        <v>3142</v>
      </c>
    </row>
    <row r="85" spans="1:15" s="204" customFormat="1" ht="15" customHeight="1" thickBot="1">
      <c r="A85" s="442">
        <v>492</v>
      </c>
      <c r="E85" s="589" t="s">
        <v>281</v>
      </c>
      <c r="F85" s="589">
        <v>74.01</v>
      </c>
      <c r="G85" s="590">
        <v>0.0371</v>
      </c>
      <c r="H85" s="591">
        <f t="shared" si="0"/>
        <v>0.1404235</v>
      </c>
      <c r="I85" s="591">
        <f t="shared" si="1"/>
        <v>0.16865660000000002</v>
      </c>
      <c r="J85" s="591">
        <f>(H85/M85)*2000/0.907</f>
        <v>43.92111786186243</v>
      </c>
      <c r="K85" s="590">
        <f t="shared" si="3"/>
        <v>2.7457710000000004</v>
      </c>
      <c r="L85" s="591">
        <f t="shared" si="2"/>
        <v>10.392743235000001</v>
      </c>
      <c r="M85" s="592">
        <v>7.05</v>
      </c>
      <c r="N85" s="594"/>
      <c r="O85" s="396">
        <v>3142</v>
      </c>
    </row>
    <row r="86" spans="1:15" s="204" customFormat="1" ht="15" customHeight="1" thickBot="1">
      <c r="A86" s="442">
        <v>491</v>
      </c>
      <c r="E86" s="589" t="s">
        <v>282</v>
      </c>
      <c r="F86" s="589">
        <v>74.01</v>
      </c>
      <c r="G86" s="590">
        <v>0.0379</v>
      </c>
      <c r="H86" s="591">
        <f t="shared" si="0"/>
        <v>0.1434515</v>
      </c>
      <c r="I86" s="591">
        <f t="shared" si="1"/>
        <v>0.1722934</v>
      </c>
      <c r="J86" s="591"/>
      <c r="K86" s="590">
        <f t="shared" si="3"/>
        <v>2.8049790000000003</v>
      </c>
      <c r="L86" s="591">
        <f t="shared" si="2"/>
        <v>10.616845515000001</v>
      </c>
      <c r="M86" s="592"/>
      <c r="N86" s="594"/>
      <c r="O86" s="396">
        <v>3142</v>
      </c>
    </row>
    <row r="87" spans="1:15" s="204" customFormat="1" ht="15" customHeight="1" thickBot="1">
      <c r="A87" s="442">
        <v>490</v>
      </c>
      <c r="E87" s="589" t="s">
        <v>283</v>
      </c>
      <c r="F87" s="589">
        <v>77.3</v>
      </c>
      <c r="G87" s="590">
        <v>0.0397</v>
      </c>
      <c r="H87" s="591">
        <f t="shared" si="0"/>
        <v>0.1502645</v>
      </c>
      <c r="I87" s="591">
        <f t="shared" si="1"/>
        <v>0.1804762</v>
      </c>
      <c r="J87" s="591">
        <f>(H87/M87)*2000/0.907</f>
        <v>39.9535316595376</v>
      </c>
      <c r="K87" s="590">
        <f t="shared" si="3"/>
        <v>3.06881</v>
      </c>
      <c r="L87" s="591">
        <f t="shared" si="2"/>
        <v>11.61544585</v>
      </c>
      <c r="M87" s="592">
        <f>N87/N79*M79</f>
        <v>8.293234100135319</v>
      </c>
      <c r="N87" s="593">
        <v>0.93</v>
      </c>
      <c r="O87" s="396">
        <v>3117</v>
      </c>
    </row>
    <row r="88" spans="1:15" s="204" customFormat="1" ht="15" customHeight="1" thickBot="1">
      <c r="A88" s="442">
        <v>489</v>
      </c>
      <c r="E88" s="589" t="s">
        <v>284</v>
      </c>
      <c r="F88" s="589">
        <v>77.3</v>
      </c>
      <c r="G88" s="590">
        <v>0.0405</v>
      </c>
      <c r="H88" s="591">
        <f t="shared" si="0"/>
        <v>0.1532925</v>
      </c>
      <c r="I88" s="591">
        <f t="shared" si="1"/>
        <v>0.18411300000000003</v>
      </c>
      <c r="J88" s="591">
        <f>(H88/M88)*2000/0.907</f>
        <v>40.758640609855746</v>
      </c>
      <c r="K88" s="590">
        <f t="shared" si="3"/>
        <v>3.13065</v>
      </c>
      <c r="L88" s="591">
        <f t="shared" si="2"/>
        <v>11.849510250000002</v>
      </c>
      <c r="M88" s="592">
        <f>M87</f>
        <v>8.293234100135319</v>
      </c>
      <c r="N88" s="593">
        <v>0.93</v>
      </c>
      <c r="O88" s="396">
        <v>3117</v>
      </c>
    </row>
    <row r="89" spans="1:15" s="204" customFormat="1" ht="15" customHeight="1" thickBot="1">
      <c r="A89" s="442">
        <v>488</v>
      </c>
      <c r="E89" s="589" t="s">
        <v>263</v>
      </c>
      <c r="F89" s="589">
        <v>63.2</v>
      </c>
      <c r="G89" s="590">
        <v>0.0249</v>
      </c>
      <c r="H89" s="591">
        <f t="shared" si="0"/>
        <v>0.0942465</v>
      </c>
      <c r="I89" s="591">
        <f t="shared" si="1"/>
        <v>0.1131954</v>
      </c>
      <c r="J89" s="591">
        <f>(H89/M89)*2000/0.907</f>
        <v>45.97793952639744</v>
      </c>
      <c r="K89" s="590">
        <f t="shared" si="3"/>
        <v>1.57368</v>
      </c>
      <c r="L89" s="591">
        <f t="shared" si="2"/>
        <v>5.9563788</v>
      </c>
      <c r="M89" s="592">
        <v>4.52</v>
      </c>
      <c r="N89" s="594"/>
      <c r="O89" s="396"/>
    </row>
    <row r="90" spans="1:15" s="204" customFormat="1" ht="15" customHeight="1" thickBot="1">
      <c r="A90" s="442">
        <v>487</v>
      </c>
      <c r="E90" s="597" t="s">
        <v>285</v>
      </c>
      <c r="F90" s="589">
        <v>73.28</v>
      </c>
      <c r="G90" s="590">
        <v>0.0382</v>
      </c>
      <c r="H90" s="590"/>
      <c r="I90" s="590"/>
      <c r="J90" s="590"/>
      <c r="K90" s="590"/>
      <c r="L90" s="590"/>
      <c r="M90" s="592"/>
      <c r="N90" s="594"/>
      <c r="O90" s="396"/>
    </row>
    <row r="91" spans="1:15" s="204" customFormat="1" ht="15" customHeight="1" thickBot="1">
      <c r="A91" s="442">
        <v>486</v>
      </c>
      <c r="E91" s="597" t="s">
        <v>286</v>
      </c>
      <c r="F91" s="589">
        <v>98.3</v>
      </c>
      <c r="G91" s="590" t="s">
        <v>311</v>
      </c>
      <c r="H91" s="590"/>
      <c r="I91" s="590"/>
      <c r="J91" s="598">
        <v>28.6</v>
      </c>
      <c r="K91" s="590"/>
      <c r="L91" s="590"/>
      <c r="M91" s="592"/>
      <c r="N91" s="594"/>
      <c r="O91" s="592">
        <v>1747.3</v>
      </c>
    </row>
    <row r="92" spans="1:15" s="204" customFormat="1" ht="15" customHeight="1" thickBot="1">
      <c r="A92" s="442">
        <v>485</v>
      </c>
      <c r="E92" s="597" t="s">
        <v>287</v>
      </c>
      <c r="F92" s="589">
        <v>94.53</v>
      </c>
      <c r="G92" s="590" t="s">
        <v>312</v>
      </c>
      <c r="H92" s="590"/>
      <c r="I92" s="590"/>
      <c r="J92" s="598">
        <v>30.23</v>
      </c>
      <c r="K92" s="590"/>
      <c r="L92" s="590"/>
      <c r="M92" s="592"/>
      <c r="N92" s="594"/>
      <c r="O92" s="592">
        <v>2236.8</v>
      </c>
    </row>
    <row r="93" spans="1:15" s="204" customFormat="1" ht="15" customHeight="1" thickBot="1">
      <c r="A93" s="442">
        <v>484</v>
      </c>
      <c r="E93" s="597" t="s">
        <v>288</v>
      </c>
      <c r="F93" s="597"/>
      <c r="G93" s="590">
        <v>0.0258</v>
      </c>
      <c r="H93" s="590"/>
      <c r="I93" s="590"/>
      <c r="J93" s="590"/>
      <c r="K93" s="590"/>
      <c r="L93" s="590"/>
      <c r="M93" s="592" t="s">
        <v>313</v>
      </c>
      <c r="N93" s="594"/>
      <c r="O93" s="592">
        <v>1685.5</v>
      </c>
    </row>
    <row r="94" spans="1:15" s="204" customFormat="1" ht="15" customHeight="1" thickBot="1">
      <c r="A94" s="442">
        <v>483</v>
      </c>
      <c r="E94" s="597" t="s">
        <v>289</v>
      </c>
      <c r="F94" s="589" t="s">
        <v>290</v>
      </c>
      <c r="G94" s="590">
        <v>0.024</v>
      </c>
      <c r="H94" s="590"/>
      <c r="I94" s="590"/>
      <c r="J94" s="591">
        <f>1000*G94*(1/N94)</f>
        <v>47.337278106508876</v>
      </c>
      <c r="K94" s="590"/>
      <c r="L94" s="590"/>
      <c r="M94" s="592" t="s">
        <v>314</v>
      </c>
      <c r="N94" s="593">
        <v>0.507</v>
      </c>
      <c r="O94" s="599"/>
    </row>
    <row r="95" spans="1:15" s="204" customFormat="1" ht="15" customHeight="1" thickBot="1">
      <c r="A95" s="442">
        <v>482</v>
      </c>
      <c r="E95" s="597" t="s">
        <v>291</v>
      </c>
      <c r="F95" s="589">
        <v>96</v>
      </c>
      <c r="G95" s="590"/>
      <c r="H95" s="590"/>
      <c r="I95" s="590"/>
      <c r="J95" s="590"/>
      <c r="K95" s="590"/>
      <c r="L95" s="590"/>
      <c r="M95" s="592"/>
      <c r="N95" s="593"/>
      <c r="O95" s="599"/>
    </row>
    <row r="96" spans="1:15" s="204" customFormat="1" ht="15" customHeight="1" thickBot="1">
      <c r="A96" s="442">
        <v>481</v>
      </c>
      <c r="E96" s="597" t="s">
        <v>292</v>
      </c>
      <c r="F96" s="589" t="s">
        <v>293</v>
      </c>
      <c r="G96" s="590"/>
      <c r="H96" s="590"/>
      <c r="I96" s="590"/>
      <c r="J96" s="590"/>
      <c r="K96" s="590"/>
      <c r="L96" s="590"/>
      <c r="M96" s="592"/>
      <c r="N96" s="593"/>
      <c r="O96" s="592">
        <v>1730</v>
      </c>
    </row>
    <row r="97" spans="1:15" s="204" customFormat="1" ht="15" customHeight="1" thickBot="1">
      <c r="A97" s="442">
        <v>480</v>
      </c>
      <c r="E97" s="597" t="s">
        <v>294</v>
      </c>
      <c r="F97" s="589">
        <v>56.06</v>
      </c>
      <c r="G97" s="600" t="s">
        <v>315</v>
      </c>
      <c r="H97" s="600"/>
      <c r="I97" s="600"/>
      <c r="J97" s="600"/>
      <c r="K97" s="590"/>
      <c r="L97" s="600"/>
      <c r="M97" s="592"/>
      <c r="N97" s="593">
        <v>0.673</v>
      </c>
      <c r="O97" s="599"/>
    </row>
    <row r="98" spans="1:15" s="204" customFormat="1" ht="15" customHeight="1" thickBot="1">
      <c r="A98" s="442">
        <v>479</v>
      </c>
      <c r="E98" s="597" t="s">
        <v>316</v>
      </c>
      <c r="F98" s="597" t="s">
        <v>317</v>
      </c>
      <c r="G98" s="601" t="s">
        <v>318</v>
      </c>
      <c r="H98" s="601"/>
      <c r="I98" s="601"/>
      <c r="J98" s="601"/>
      <c r="K98" s="592"/>
      <c r="L98" s="592"/>
      <c r="M98" s="592"/>
      <c r="N98" s="602" t="s">
        <v>299</v>
      </c>
      <c r="O98" s="588" t="s">
        <v>310</v>
      </c>
    </row>
    <row r="99" spans="1:15" s="204" customFormat="1" ht="15" customHeight="1" thickBot="1">
      <c r="A99" s="442">
        <v>478</v>
      </c>
      <c r="E99" s="609" t="s">
        <v>319</v>
      </c>
      <c r="F99" s="609"/>
      <c r="G99" s="609"/>
      <c r="H99" s="609"/>
      <c r="I99" s="609"/>
      <c r="J99" s="609"/>
      <c r="K99" s="609"/>
      <c r="L99" s="609"/>
      <c r="M99" s="609"/>
      <c r="N99" s="610" t="s">
        <v>320</v>
      </c>
      <c r="O99" s="611"/>
    </row>
    <row r="100" spans="1:14" s="204" customFormat="1" ht="15" customHeight="1" thickBot="1">
      <c r="A100" s="442">
        <v>477</v>
      </c>
      <c r="E100" s="482" t="s">
        <v>21</v>
      </c>
      <c r="F100" s="448"/>
      <c r="K100" s="448"/>
      <c r="N100" s="461"/>
    </row>
    <row r="101" spans="1:14" s="204" customFormat="1" ht="15" customHeight="1" thickBot="1">
      <c r="A101" s="442">
        <v>476</v>
      </c>
      <c r="F101" s="448"/>
      <c r="K101" s="448"/>
      <c r="N101" s="461"/>
    </row>
    <row r="102" spans="1:14" s="204" customFormat="1" ht="15" customHeight="1" thickBot="1">
      <c r="A102" s="442">
        <v>475</v>
      </c>
      <c r="E102" s="481"/>
      <c r="F102" s="437"/>
      <c r="G102" s="437"/>
      <c r="H102" s="437"/>
      <c r="I102" s="437"/>
      <c r="J102" s="437"/>
      <c r="K102" s="437"/>
      <c r="L102" s="437"/>
      <c r="N102" s="461"/>
    </row>
    <row r="103" spans="1:14" s="204" customFormat="1" ht="15" customHeight="1" thickBot="1">
      <c r="A103" s="442">
        <v>474</v>
      </c>
      <c r="E103" s="482">
        <v>9.016627000000002</v>
      </c>
      <c r="F103" s="20" t="s">
        <v>321</v>
      </c>
      <c r="G103" s="20"/>
      <c r="H103" s="20" t="s">
        <v>322</v>
      </c>
      <c r="I103" s="20"/>
      <c r="J103" s="20"/>
      <c r="K103" s="20">
        <f>E103/3.785</f>
        <v>2.3822</v>
      </c>
      <c r="L103" s="20" t="s">
        <v>323</v>
      </c>
      <c r="N103" s="461"/>
    </row>
    <row r="104" spans="1:14" s="204" customFormat="1" ht="15" customHeight="1" thickBot="1">
      <c r="A104" s="442">
        <v>473</v>
      </c>
      <c r="E104" s="482">
        <v>10.392743235000001</v>
      </c>
      <c r="F104" s="20" t="s">
        <v>324</v>
      </c>
      <c r="G104" s="20"/>
      <c r="H104" s="20" t="s">
        <v>325</v>
      </c>
      <c r="I104" s="20"/>
      <c r="J104" s="20"/>
      <c r="K104" s="20">
        <f>E104/3.785</f>
        <v>2.745771</v>
      </c>
      <c r="L104" s="20" t="s">
        <v>326</v>
      </c>
      <c r="N104" s="461"/>
    </row>
    <row r="105" spans="1:14" s="204" customFormat="1" ht="15" customHeight="1" thickBot="1">
      <c r="A105" s="442">
        <v>472</v>
      </c>
      <c r="E105" s="311" t="s">
        <v>237</v>
      </c>
      <c r="F105" s="311" t="s">
        <v>238</v>
      </c>
      <c r="G105" s="311" t="s">
        <v>239</v>
      </c>
      <c r="H105" s="311" t="s">
        <v>240</v>
      </c>
      <c r="I105" s="311" t="s">
        <v>327</v>
      </c>
      <c r="J105" s="311" t="s">
        <v>241</v>
      </c>
      <c r="K105" s="311" t="s">
        <v>328</v>
      </c>
      <c r="L105" s="20"/>
      <c r="N105" s="461"/>
    </row>
    <row r="106" spans="1:14" s="204" customFormat="1" ht="15" customHeight="1" thickBot="1">
      <c r="A106" s="442">
        <v>471</v>
      </c>
      <c r="E106" s="579" t="s">
        <v>329</v>
      </c>
      <c r="F106" s="579" t="s">
        <v>330</v>
      </c>
      <c r="G106" s="579" t="s">
        <v>331</v>
      </c>
      <c r="H106" s="579" t="s">
        <v>332</v>
      </c>
      <c r="I106" s="579" t="s">
        <v>333</v>
      </c>
      <c r="J106" s="579" t="s">
        <v>259</v>
      </c>
      <c r="K106" s="579" t="s">
        <v>334</v>
      </c>
      <c r="L106" s="20"/>
      <c r="N106" s="461"/>
    </row>
    <row r="107" spans="1:14" s="204" customFormat="1" ht="15" customHeight="1" thickBot="1">
      <c r="A107" s="442">
        <v>470</v>
      </c>
      <c r="E107" s="580" t="s">
        <v>335</v>
      </c>
      <c r="F107" s="580" t="s">
        <v>336</v>
      </c>
      <c r="G107" s="580" t="s">
        <v>336</v>
      </c>
      <c r="H107" s="580" t="s">
        <v>337</v>
      </c>
      <c r="I107" s="580" t="s">
        <v>338</v>
      </c>
      <c r="J107" s="580" t="s">
        <v>338</v>
      </c>
      <c r="K107" s="580" t="s">
        <v>339</v>
      </c>
      <c r="L107" s="20"/>
      <c r="N107" s="461"/>
    </row>
    <row r="108" spans="1:14" s="204" customFormat="1" ht="15" customHeight="1" thickBot="1">
      <c r="A108" s="442">
        <v>469</v>
      </c>
      <c r="E108" s="581"/>
      <c r="F108" s="581" t="str">
        <f>E103&amp;"/A"</f>
        <v>9.016627/A</v>
      </c>
      <c r="G108" s="581" t="s">
        <v>340</v>
      </c>
      <c r="H108" s="581"/>
      <c r="I108" s="582" t="s">
        <v>341</v>
      </c>
      <c r="J108" s="581" t="str">
        <f>" col E x "&amp;E104&amp;"/"&amp;E103</f>
        <v> col E x 10.392743235/9.016627</v>
      </c>
      <c r="K108" s="8" t="s">
        <v>342</v>
      </c>
      <c r="L108" s="20"/>
      <c r="N108" s="461"/>
    </row>
    <row r="109" spans="1:14" s="204" customFormat="1" ht="15" customHeight="1" thickBot="1">
      <c r="A109" s="442">
        <v>468</v>
      </c>
      <c r="E109" s="583">
        <v>4</v>
      </c>
      <c r="F109" s="584">
        <f aca="true" t="shared" si="4" ref="F109:F140">E$103/E109</f>
        <v>2.2541567500000004</v>
      </c>
      <c r="G109" s="585">
        <f>1000*F109</f>
        <v>2254.1567500000006</v>
      </c>
      <c r="H109" s="583">
        <v>1.6093</v>
      </c>
      <c r="I109" s="586">
        <f>G109/H109</f>
        <v>1400.7063630149758</v>
      </c>
      <c r="J109" s="587">
        <f aca="true" t="shared" si="5" ref="J109:J140">I109*$E$104/E$103</f>
        <v>1614.481954110483</v>
      </c>
      <c r="K109" s="587">
        <f>100/(E109/3.785*1.6093)</f>
        <v>58.7988566457466</v>
      </c>
      <c r="L109" s="483"/>
      <c r="N109" s="461"/>
    </row>
    <row r="110" spans="1:14" s="204" customFormat="1" ht="15" customHeight="1" thickBot="1">
      <c r="A110" s="442">
        <v>467</v>
      </c>
      <c r="E110" s="583">
        <v>5</v>
      </c>
      <c r="F110" s="584">
        <f t="shared" si="4"/>
        <v>1.8033254000000003</v>
      </c>
      <c r="G110" s="585">
        <f>1000*F110</f>
        <v>1803.3254000000004</v>
      </c>
      <c r="H110" s="583">
        <v>1.6093</v>
      </c>
      <c r="I110" s="586">
        <f>G110/H110</f>
        <v>1120.5650904119807</v>
      </c>
      <c r="J110" s="587">
        <f t="shared" si="5"/>
        <v>1291.5855632883865</v>
      </c>
      <c r="K110" s="587">
        <f>100/(E110/3.785*1.6093)</f>
        <v>47.03908531659727</v>
      </c>
      <c r="L110" s="483"/>
      <c r="N110" s="461"/>
    </row>
    <row r="111" spans="1:14" s="204" customFormat="1" ht="15" customHeight="1" thickBot="1">
      <c r="A111" s="442">
        <v>466</v>
      </c>
      <c r="E111" s="583">
        <v>6</v>
      </c>
      <c r="F111" s="584">
        <f t="shared" si="4"/>
        <v>1.502771166666667</v>
      </c>
      <c r="G111" s="585">
        <f>1000*F111</f>
        <v>1502.7711666666669</v>
      </c>
      <c r="H111" s="583">
        <v>1.6093</v>
      </c>
      <c r="I111" s="586">
        <f>G111/H111</f>
        <v>933.8042420099838</v>
      </c>
      <c r="J111" s="587">
        <f t="shared" si="5"/>
        <v>1076.3213027403222</v>
      </c>
      <c r="K111" s="587">
        <f aca="true" t="shared" si="6" ref="K111:K172">100/(E111/3.785*1.6093)</f>
        <v>39.19923776383107</v>
      </c>
      <c r="L111" s="483"/>
      <c r="N111" s="461"/>
    </row>
    <row r="112" spans="1:14" s="204" customFormat="1" ht="15" customHeight="1" thickBot="1">
      <c r="A112" s="442">
        <v>465</v>
      </c>
      <c r="E112" s="583">
        <v>7</v>
      </c>
      <c r="F112" s="584">
        <f t="shared" si="4"/>
        <v>1.2880895714285716</v>
      </c>
      <c r="G112" s="585">
        <f>1000*F112</f>
        <v>1288.0895714285716</v>
      </c>
      <c r="H112" s="583">
        <v>1.6093</v>
      </c>
      <c r="I112" s="586">
        <f>G112/H112</f>
        <v>800.4036360085576</v>
      </c>
      <c r="J112" s="587">
        <f t="shared" si="5"/>
        <v>922.5611166345617</v>
      </c>
      <c r="K112" s="587">
        <f t="shared" si="6"/>
        <v>33.59934665471235</v>
      </c>
      <c r="L112" s="20"/>
      <c r="N112" s="461"/>
    </row>
    <row r="113" spans="1:14" s="204" customFormat="1" ht="15" customHeight="1" thickBot="1">
      <c r="A113" s="442">
        <v>464</v>
      </c>
      <c r="E113" s="583">
        <v>8</v>
      </c>
      <c r="F113" s="584">
        <f t="shared" si="4"/>
        <v>1.1270783750000002</v>
      </c>
      <c r="G113" s="585">
        <f>1000*F113</f>
        <v>1127.0783750000003</v>
      </c>
      <c r="H113" s="583">
        <v>1.6093</v>
      </c>
      <c r="I113" s="586">
        <f>G113/H113</f>
        <v>700.3531815074879</v>
      </c>
      <c r="J113" s="587">
        <f t="shared" si="5"/>
        <v>807.2409770552415</v>
      </c>
      <c r="K113" s="587">
        <f t="shared" si="6"/>
        <v>29.3994283228733</v>
      </c>
      <c r="L113" s="20"/>
      <c r="N113" s="461"/>
    </row>
    <row r="114" spans="1:14" s="204" customFormat="1" ht="15" customHeight="1" thickBot="1">
      <c r="A114" s="442">
        <v>463</v>
      </c>
      <c r="E114" s="583">
        <v>9</v>
      </c>
      <c r="F114" s="584">
        <f t="shared" si="4"/>
        <v>1.0018474444444445</v>
      </c>
      <c r="G114" s="585">
        <f aca="true" t="shared" si="7" ref="G114:G172">1000*F114</f>
        <v>1001.8474444444445</v>
      </c>
      <c r="H114" s="583">
        <v>1.6093</v>
      </c>
      <c r="I114" s="586">
        <f aca="true" t="shared" si="8" ref="I114:I144">G114/H114</f>
        <v>622.5361613399891</v>
      </c>
      <c r="J114" s="587">
        <f t="shared" si="5"/>
        <v>717.5475351602146</v>
      </c>
      <c r="K114" s="587">
        <f t="shared" si="6"/>
        <v>26.132825175887376</v>
      </c>
      <c r="L114" s="20"/>
      <c r="N114" s="461"/>
    </row>
    <row r="115" spans="1:14" s="204" customFormat="1" ht="15" customHeight="1" thickBot="1">
      <c r="A115" s="442">
        <v>462</v>
      </c>
      <c r="E115" s="583">
        <v>10</v>
      </c>
      <c r="F115" s="584">
        <f t="shared" si="4"/>
        <v>0.9016627000000002</v>
      </c>
      <c r="G115" s="585">
        <f t="shared" si="7"/>
        <v>901.6627000000002</v>
      </c>
      <c r="H115" s="583">
        <v>1.6093</v>
      </c>
      <c r="I115" s="586">
        <f t="shared" si="8"/>
        <v>560.2825452059903</v>
      </c>
      <c r="J115" s="587">
        <f t="shared" si="5"/>
        <v>645.7927816441933</v>
      </c>
      <c r="K115" s="587">
        <f t="shared" si="6"/>
        <v>23.519542658298636</v>
      </c>
      <c r="L115" s="20"/>
      <c r="N115" s="461"/>
    </row>
    <row r="116" spans="1:14" s="204" customFormat="1" ht="15" customHeight="1" thickBot="1">
      <c r="A116" s="442">
        <v>461</v>
      </c>
      <c r="E116" s="583">
        <v>11</v>
      </c>
      <c r="F116" s="584">
        <f t="shared" si="4"/>
        <v>0.8196933636363638</v>
      </c>
      <c r="G116" s="585">
        <f t="shared" si="7"/>
        <v>819.6933636363638</v>
      </c>
      <c r="H116" s="583">
        <v>1.6093</v>
      </c>
      <c r="I116" s="586">
        <f t="shared" si="8"/>
        <v>509.3477683690821</v>
      </c>
      <c r="J116" s="587">
        <f t="shared" si="5"/>
        <v>587.0843469492665</v>
      </c>
      <c r="K116" s="587">
        <f t="shared" si="6"/>
        <v>21.38140241663513</v>
      </c>
      <c r="L116" s="20"/>
      <c r="N116" s="461"/>
    </row>
    <row r="117" spans="1:14" s="204" customFormat="1" ht="15" customHeight="1" thickBot="1">
      <c r="A117" s="442">
        <v>460</v>
      </c>
      <c r="E117" s="583">
        <v>12</v>
      </c>
      <c r="F117" s="584">
        <f t="shared" si="4"/>
        <v>0.7513855833333335</v>
      </c>
      <c r="G117" s="585">
        <f t="shared" si="7"/>
        <v>751.3855833333334</v>
      </c>
      <c r="H117" s="583">
        <v>1.6093</v>
      </c>
      <c r="I117" s="586">
        <f t="shared" si="8"/>
        <v>466.9021210049919</v>
      </c>
      <c r="J117" s="587">
        <f t="shared" si="5"/>
        <v>538.1606513701611</v>
      </c>
      <c r="K117" s="587">
        <f t="shared" si="6"/>
        <v>19.599618881915536</v>
      </c>
      <c r="L117" s="20"/>
      <c r="N117" s="461"/>
    </row>
    <row r="118" spans="1:14" s="204" customFormat="1" ht="15" customHeight="1" thickBot="1">
      <c r="A118" s="442">
        <v>459</v>
      </c>
      <c r="E118" s="583">
        <v>13</v>
      </c>
      <c r="F118" s="584">
        <f t="shared" si="4"/>
        <v>0.6935866923076924</v>
      </c>
      <c r="G118" s="585">
        <f t="shared" si="7"/>
        <v>693.5866923076925</v>
      </c>
      <c r="H118" s="583">
        <v>1.6093</v>
      </c>
      <c r="I118" s="586">
        <f t="shared" si="8"/>
        <v>430.9865732353772</v>
      </c>
      <c r="J118" s="587">
        <f t="shared" si="5"/>
        <v>496.7636781878409</v>
      </c>
      <c r="K118" s="587">
        <f t="shared" si="6"/>
        <v>18.091955890998953</v>
      </c>
      <c r="L118" s="20"/>
      <c r="N118" s="461"/>
    </row>
    <row r="119" spans="1:14" s="204" customFormat="1" ht="15" customHeight="1" thickBot="1">
      <c r="A119" s="442">
        <v>458</v>
      </c>
      <c r="E119" s="583">
        <v>14</v>
      </c>
      <c r="F119" s="584">
        <f t="shared" si="4"/>
        <v>0.6440447857142858</v>
      </c>
      <c r="G119" s="585">
        <f t="shared" si="7"/>
        <v>644.0447857142858</v>
      </c>
      <c r="H119" s="583">
        <v>1.6093</v>
      </c>
      <c r="I119" s="586">
        <f t="shared" si="8"/>
        <v>400.2018180042788</v>
      </c>
      <c r="J119" s="587">
        <f t="shared" si="5"/>
        <v>461.28055831728085</v>
      </c>
      <c r="K119" s="587">
        <f t="shared" si="6"/>
        <v>16.799673327356174</v>
      </c>
      <c r="L119" s="20"/>
      <c r="N119" s="461"/>
    </row>
    <row r="120" spans="1:14" s="204" customFormat="1" ht="15" customHeight="1" thickBot="1">
      <c r="A120" s="442">
        <v>457</v>
      </c>
      <c r="E120" s="583">
        <v>15</v>
      </c>
      <c r="F120" s="584">
        <f t="shared" si="4"/>
        <v>0.6011084666666667</v>
      </c>
      <c r="G120" s="585">
        <f t="shared" si="7"/>
        <v>601.1084666666667</v>
      </c>
      <c r="H120" s="583">
        <v>1.6093</v>
      </c>
      <c r="I120" s="586">
        <f t="shared" si="8"/>
        <v>373.52169680399345</v>
      </c>
      <c r="J120" s="587">
        <f t="shared" si="5"/>
        <v>430.5285210961287</v>
      </c>
      <c r="K120" s="587">
        <f t="shared" si="6"/>
        <v>15.679695105532426</v>
      </c>
      <c r="L120" s="20"/>
      <c r="N120" s="461"/>
    </row>
    <row r="121" spans="1:14" s="204" customFormat="1" ht="15" customHeight="1" thickBot="1">
      <c r="A121" s="442">
        <v>456</v>
      </c>
      <c r="E121" s="583">
        <v>16</v>
      </c>
      <c r="F121" s="584">
        <f t="shared" si="4"/>
        <v>0.5635391875000001</v>
      </c>
      <c r="G121" s="585">
        <f t="shared" si="7"/>
        <v>563.5391875000001</v>
      </c>
      <c r="H121" s="583">
        <v>1.6093</v>
      </c>
      <c r="I121" s="586">
        <f t="shared" si="8"/>
        <v>350.17659075374394</v>
      </c>
      <c r="J121" s="587">
        <f t="shared" si="5"/>
        <v>403.62048852762075</v>
      </c>
      <c r="K121" s="587">
        <f t="shared" si="6"/>
        <v>14.69971416143665</v>
      </c>
      <c r="L121" s="20"/>
      <c r="N121" s="461"/>
    </row>
    <row r="122" spans="1:14" s="204" customFormat="1" ht="15" customHeight="1" thickBot="1">
      <c r="A122" s="442">
        <v>455</v>
      </c>
      <c r="E122" s="583">
        <v>17</v>
      </c>
      <c r="F122" s="584">
        <f t="shared" si="4"/>
        <v>0.5303898235294119</v>
      </c>
      <c r="G122" s="585">
        <f t="shared" si="7"/>
        <v>530.3898235294118</v>
      </c>
      <c r="H122" s="583">
        <v>1.6093</v>
      </c>
      <c r="I122" s="586">
        <f t="shared" si="8"/>
        <v>329.5779677682296</v>
      </c>
      <c r="J122" s="587">
        <f t="shared" si="5"/>
        <v>379.8781068495254</v>
      </c>
      <c r="K122" s="587">
        <f t="shared" si="6"/>
        <v>13.835025093116847</v>
      </c>
      <c r="L122" s="20"/>
      <c r="N122" s="461"/>
    </row>
    <row r="123" spans="1:14" s="204" customFormat="1" ht="15" customHeight="1" thickBot="1">
      <c r="A123" s="442">
        <v>454</v>
      </c>
      <c r="E123" s="583">
        <v>18</v>
      </c>
      <c r="F123" s="584">
        <f t="shared" si="4"/>
        <v>0.5009237222222223</v>
      </c>
      <c r="G123" s="585">
        <f t="shared" si="7"/>
        <v>500.92372222222224</v>
      </c>
      <c r="H123" s="583">
        <v>1.6093</v>
      </c>
      <c r="I123" s="586">
        <f t="shared" si="8"/>
        <v>311.26808066999456</v>
      </c>
      <c r="J123" s="587">
        <f t="shared" si="5"/>
        <v>358.7737675801073</v>
      </c>
      <c r="K123" s="587">
        <f t="shared" si="6"/>
        <v>13.066412587943688</v>
      </c>
      <c r="L123" s="20"/>
      <c r="N123" s="461"/>
    </row>
    <row r="124" spans="1:14" s="204" customFormat="1" ht="15" customHeight="1" thickBot="1">
      <c r="A124" s="442">
        <v>453</v>
      </c>
      <c r="E124" s="583">
        <v>19</v>
      </c>
      <c r="F124" s="584">
        <f t="shared" si="4"/>
        <v>0.47455931578947375</v>
      </c>
      <c r="G124" s="585">
        <f t="shared" si="7"/>
        <v>474.55931578947377</v>
      </c>
      <c r="H124" s="583">
        <v>1.6093</v>
      </c>
      <c r="I124" s="586">
        <f t="shared" si="8"/>
        <v>294.88555010841594</v>
      </c>
      <c r="J124" s="587">
        <f t="shared" si="5"/>
        <v>339.8909377074701</v>
      </c>
      <c r="K124" s="587">
        <f t="shared" si="6"/>
        <v>12.378706662262443</v>
      </c>
      <c r="L124" s="20"/>
      <c r="N124" s="461"/>
    </row>
    <row r="125" spans="1:14" s="204" customFormat="1" ht="15" customHeight="1" thickBot="1">
      <c r="A125" s="442">
        <v>452</v>
      </c>
      <c r="E125" s="583">
        <v>20</v>
      </c>
      <c r="F125" s="584">
        <f t="shared" si="4"/>
        <v>0.4508313500000001</v>
      </c>
      <c r="G125" s="585">
        <f t="shared" si="7"/>
        <v>450.8313500000001</v>
      </c>
      <c r="H125" s="583">
        <v>1.6093</v>
      </c>
      <c r="I125" s="586">
        <f t="shared" si="8"/>
        <v>280.1412726029952</v>
      </c>
      <c r="J125" s="587">
        <f t="shared" si="5"/>
        <v>322.89639082209663</v>
      </c>
      <c r="K125" s="587">
        <f t="shared" si="6"/>
        <v>11.759771329149318</v>
      </c>
      <c r="L125" s="20"/>
      <c r="N125" s="461"/>
    </row>
    <row r="126" spans="1:14" s="204" customFormat="1" ht="15" customHeight="1" thickBot="1">
      <c r="A126" s="442">
        <v>451</v>
      </c>
      <c r="E126" s="583">
        <v>21</v>
      </c>
      <c r="F126" s="584">
        <f t="shared" si="4"/>
        <v>0.42936319047619054</v>
      </c>
      <c r="G126" s="585">
        <f t="shared" si="7"/>
        <v>429.36319047619054</v>
      </c>
      <c r="H126" s="583">
        <v>1.6093</v>
      </c>
      <c r="I126" s="586">
        <f t="shared" si="8"/>
        <v>266.80121200285254</v>
      </c>
      <c r="J126" s="587">
        <f t="shared" si="5"/>
        <v>307.52037221152057</v>
      </c>
      <c r="K126" s="587">
        <f t="shared" si="6"/>
        <v>11.199782218237448</v>
      </c>
      <c r="L126" s="20"/>
      <c r="N126" s="461"/>
    </row>
    <row r="127" spans="1:14" s="204" customFormat="1" ht="15" customHeight="1" thickBot="1">
      <c r="A127" s="442">
        <v>450</v>
      </c>
      <c r="E127" s="583">
        <v>22</v>
      </c>
      <c r="F127" s="584">
        <f t="shared" si="4"/>
        <v>0.4098466818181819</v>
      </c>
      <c r="G127" s="585">
        <f t="shared" si="7"/>
        <v>409.8466818181819</v>
      </c>
      <c r="H127" s="583">
        <v>1.6093</v>
      </c>
      <c r="I127" s="586">
        <f t="shared" si="8"/>
        <v>254.67388418454104</v>
      </c>
      <c r="J127" s="587">
        <f t="shared" si="5"/>
        <v>293.5421734746333</v>
      </c>
      <c r="K127" s="587">
        <f t="shared" si="6"/>
        <v>10.690701208317565</v>
      </c>
      <c r="L127" s="20"/>
      <c r="N127" s="461"/>
    </row>
    <row r="128" spans="1:14" s="204" customFormat="1" ht="15" customHeight="1" thickBot="1">
      <c r="A128" s="442">
        <v>449</v>
      </c>
      <c r="E128" s="583">
        <v>23</v>
      </c>
      <c r="F128" s="584">
        <f t="shared" si="4"/>
        <v>0.3920272608695653</v>
      </c>
      <c r="G128" s="585">
        <f t="shared" si="7"/>
        <v>392.0272608695653</v>
      </c>
      <c r="H128" s="583">
        <v>1.6093</v>
      </c>
      <c r="I128" s="586">
        <f t="shared" si="8"/>
        <v>243.60110661130014</v>
      </c>
      <c r="J128" s="587">
        <f t="shared" si="5"/>
        <v>280.779470280084</v>
      </c>
      <c r="K128" s="587">
        <f t="shared" si="6"/>
        <v>10.225888112303757</v>
      </c>
      <c r="L128" s="20"/>
      <c r="N128" s="461"/>
    </row>
    <row r="129" spans="1:14" s="204" customFormat="1" ht="15" customHeight="1" thickBot="1">
      <c r="A129" s="442">
        <v>448</v>
      </c>
      <c r="E129" s="583">
        <v>24</v>
      </c>
      <c r="F129" s="584">
        <f t="shared" si="4"/>
        <v>0.37569279166666675</v>
      </c>
      <c r="G129" s="585">
        <f t="shared" si="7"/>
        <v>375.6927916666667</v>
      </c>
      <c r="H129" s="583">
        <v>1.6093</v>
      </c>
      <c r="I129" s="586">
        <f t="shared" si="8"/>
        <v>233.45106050249595</v>
      </c>
      <c r="J129" s="587">
        <f t="shared" si="5"/>
        <v>269.08032568508054</v>
      </c>
      <c r="K129" s="587">
        <f t="shared" si="6"/>
        <v>9.799809440957768</v>
      </c>
      <c r="L129" s="20"/>
      <c r="N129" s="461"/>
    </row>
    <row r="130" spans="1:14" s="204" customFormat="1" ht="15" customHeight="1" thickBot="1">
      <c r="A130" s="442">
        <v>447</v>
      </c>
      <c r="E130" s="583">
        <v>25</v>
      </c>
      <c r="F130" s="584">
        <f t="shared" si="4"/>
        <v>0.3606650800000001</v>
      </c>
      <c r="G130" s="585">
        <f t="shared" si="7"/>
        <v>360.6650800000001</v>
      </c>
      <c r="H130" s="583">
        <v>1.6093</v>
      </c>
      <c r="I130" s="586">
        <f t="shared" si="8"/>
        <v>224.11301808239614</v>
      </c>
      <c r="J130" s="587">
        <f t="shared" si="5"/>
        <v>258.3171126576773</v>
      </c>
      <c r="K130" s="587">
        <f t="shared" si="6"/>
        <v>9.407817063319456</v>
      </c>
      <c r="L130" s="20"/>
      <c r="N130" s="461"/>
    </row>
    <row r="131" spans="1:14" s="204" customFormat="1" ht="15" customHeight="1" thickBot="1">
      <c r="A131" s="442">
        <v>446</v>
      </c>
      <c r="E131" s="583">
        <v>26</v>
      </c>
      <c r="F131" s="584">
        <f t="shared" si="4"/>
        <v>0.3467933461538462</v>
      </c>
      <c r="G131" s="585">
        <f t="shared" si="7"/>
        <v>346.79334615384624</v>
      </c>
      <c r="H131" s="583">
        <v>1.6093</v>
      </c>
      <c r="I131" s="586">
        <f t="shared" si="8"/>
        <v>215.4932866176886</v>
      </c>
      <c r="J131" s="587">
        <f t="shared" si="5"/>
        <v>248.38183909392046</v>
      </c>
      <c r="K131" s="587">
        <f t="shared" si="6"/>
        <v>9.045977945499477</v>
      </c>
      <c r="L131" s="20"/>
      <c r="N131" s="461"/>
    </row>
    <row r="132" spans="1:14" s="204" customFormat="1" ht="15" customHeight="1" thickBot="1">
      <c r="A132" s="442">
        <v>445</v>
      </c>
      <c r="E132" s="583">
        <v>27</v>
      </c>
      <c r="F132" s="584">
        <f t="shared" si="4"/>
        <v>0.3339491481481482</v>
      </c>
      <c r="G132" s="585">
        <f t="shared" si="7"/>
        <v>333.9491481481482</v>
      </c>
      <c r="H132" s="583">
        <v>1.6093</v>
      </c>
      <c r="I132" s="586">
        <f t="shared" si="8"/>
        <v>207.5120537799964</v>
      </c>
      <c r="J132" s="587">
        <f t="shared" si="5"/>
        <v>239.18251172007157</v>
      </c>
      <c r="K132" s="587">
        <f t="shared" si="6"/>
        <v>8.710941725295793</v>
      </c>
      <c r="L132" s="20"/>
      <c r="N132" s="461"/>
    </row>
    <row r="133" spans="1:14" s="204" customFormat="1" ht="15" customHeight="1" thickBot="1">
      <c r="A133" s="442">
        <v>444</v>
      </c>
      <c r="E133" s="583">
        <v>28</v>
      </c>
      <c r="F133" s="584">
        <f t="shared" si="4"/>
        <v>0.3220223928571429</v>
      </c>
      <c r="G133" s="585">
        <f t="shared" si="7"/>
        <v>322.0223928571429</v>
      </c>
      <c r="H133" s="583">
        <v>1.6093</v>
      </c>
      <c r="I133" s="586">
        <f t="shared" si="8"/>
        <v>200.1009090021394</v>
      </c>
      <c r="J133" s="587">
        <f t="shared" si="5"/>
        <v>230.64027915864042</v>
      </c>
      <c r="K133" s="587">
        <f t="shared" si="6"/>
        <v>8.399836663678087</v>
      </c>
      <c r="L133" s="20"/>
      <c r="N133" s="461"/>
    </row>
    <row r="134" spans="1:14" s="204" customFormat="1" ht="15" customHeight="1" thickBot="1">
      <c r="A134" s="442">
        <v>443</v>
      </c>
      <c r="E134" s="583">
        <v>29</v>
      </c>
      <c r="F134" s="584">
        <f t="shared" si="4"/>
        <v>0.31091817241379316</v>
      </c>
      <c r="G134" s="585">
        <f t="shared" si="7"/>
        <v>310.9181724137932</v>
      </c>
      <c r="H134" s="583">
        <v>1.6093</v>
      </c>
      <c r="I134" s="586">
        <f t="shared" si="8"/>
        <v>193.20087765723804</v>
      </c>
      <c r="J134" s="587">
        <f t="shared" si="5"/>
        <v>222.68716608420456</v>
      </c>
      <c r="K134" s="587">
        <f t="shared" si="6"/>
        <v>8.110187123551254</v>
      </c>
      <c r="L134" s="20"/>
      <c r="N134" s="461"/>
    </row>
    <row r="135" spans="1:14" s="204" customFormat="1" ht="15" customHeight="1" thickBot="1">
      <c r="A135" s="442">
        <v>442</v>
      </c>
      <c r="E135" s="583">
        <v>30</v>
      </c>
      <c r="F135" s="584">
        <f t="shared" si="4"/>
        <v>0.30055423333333336</v>
      </c>
      <c r="G135" s="585">
        <f t="shared" si="7"/>
        <v>300.55423333333334</v>
      </c>
      <c r="H135" s="583">
        <v>1.6093</v>
      </c>
      <c r="I135" s="586">
        <f t="shared" si="8"/>
        <v>186.76084840199672</v>
      </c>
      <c r="J135" s="587">
        <f t="shared" si="5"/>
        <v>215.26426054806436</v>
      </c>
      <c r="K135" s="587">
        <f t="shared" si="6"/>
        <v>7.839847552766213</v>
      </c>
      <c r="L135" s="20"/>
      <c r="N135" s="461"/>
    </row>
    <row r="136" spans="1:14" s="204" customFormat="1" ht="15" customHeight="1" thickBot="1">
      <c r="A136" s="442">
        <v>441</v>
      </c>
      <c r="E136" s="583">
        <v>31</v>
      </c>
      <c r="F136" s="584">
        <f t="shared" si="4"/>
        <v>0.29085893548387104</v>
      </c>
      <c r="G136" s="585">
        <f t="shared" si="7"/>
        <v>290.85893548387105</v>
      </c>
      <c r="H136" s="583">
        <v>1.6093</v>
      </c>
      <c r="I136" s="586">
        <f t="shared" si="8"/>
        <v>180.7363049051582</v>
      </c>
      <c r="J136" s="587">
        <f t="shared" si="5"/>
        <v>208.32025214328817</v>
      </c>
      <c r="K136" s="587">
        <f t="shared" si="6"/>
        <v>7.586949244612465</v>
      </c>
      <c r="L136" s="20"/>
      <c r="N136" s="461"/>
    </row>
    <row r="137" spans="1:14" s="204" customFormat="1" ht="15" customHeight="1" thickBot="1">
      <c r="A137" s="442">
        <v>440</v>
      </c>
      <c r="E137" s="583">
        <v>32</v>
      </c>
      <c r="F137" s="584">
        <f t="shared" si="4"/>
        <v>0.28176959375000005</v>
      </c>
      <c r="G137" s="585">
        <f t="shared" si="7"/>
        <v>281.76959375000007</v>
      </c>
      <c r="H137" s="583">
        <v>1.6093</v>
      </c>
      <c r="I137" s="586">
        <f t="shared" si="8"/>
        <v>175.08829537687197</v>
      </c>
      <c r="J137" s="587">
        <f t="shared" si="5"/>
        <v>201.81024426381038</v>
      </c>
      <c r="K137" s="587">
        <f t="shared" si="6"/>
        <v>7.349857080718325</v>
      </c>
      <c r="L137" s="20"/>
      <c r="N137" s="461"/>
    </row>
    <row r="138" spans="1:14" s="204" customFormat="1" ht="15" customHeight="1" thickBot="1">
      <c r="A138" s="442">
        <v>439</v>
      </c>
      <c r="E138" s="583">
        <v>33</v>
      </c>
      <c r="F138" s="584">
        <f t="shared" si="4"/>
        <v>0.27323112121212123</v>
      </c>
      <c r="G138" s="585">
        <f t="shared" si="7"/>
        <v>273.23112121212125</v>
      </c>
      <c r="H138" s="583">
        <v>1.6093</v>
      </c>
      <c r="I138" s="586">
        <f t="shared" si="8"/>
        <v>169.78258945636068</v>
      </c>
      <c r="J138" s="587">
        <f t="shared" si="5"/>
        <v>195.69478231642216</v>
      </c>
      <c r="K138" s="587">
        <f t="shared" si="6"/>
        <v>7.127134138878375</v>
      </c>
      <c r="L138" s="20"/>
      <c r="N138" s="461"/>
    </row>
    <row r="139" spans="1:14" s="204" customFormat="1" ht="15" customHeight="1" thickBot="1">
      <c r="A139" s="442">
        <v>438</v>
      </c>
      <c r="E139" s="583">
        <v>34</v>
      </c>
      <c r="F139" s="584">
        <f t="shared" si="4"/>
        <v>0.26519491176470594</v>
      </c>
      <c r="G139" s="585">
        <f t="shared" si="7"/>
        <v>265.1949117647059</v>
      </c>
      <c r="H139" s="583">
        <v>1.6093</v>
      </c>
      <c r="I139" s="586">
        <f t="shared" si="8"/>
        <v>164.7889838841148</v>
      </c>
      <c r="J139" s="587">
        <f t="shared" si="5"/>
        <v>189.9390534247627</v>
      </c>
      <c r="K139" s="587">
        <f t="shared" si="6"/>
        <v>6.917512546558424</v>
      </c>
      <c r="L139" s="20"/>
      <c r="N139" s="461"/>
    </row>
    <row r="140" spans="1:14" s="204" customFormat="1" ht="15" customHeight="1" thickBot="1">
      <c r="A140" s="442">
        <v>437</v>
      </c>
      <c r="E140" s="583">
        <v>35</v>
      </c>
      <c r="F140" s="584">
        <f t="shared" si="4"/>
        <v>0.25761791428571434</v>
      </c>
      <c r="G140" s="585">
        <f t="shared" si="7"/>
        <v>257.61791428571433</v>
      </c>
      <c r="H140" s="583">
        <v>1.6093</v>
      </c>
      <c r="I140" s="586">
        <f t="shared" si="8"/>
        <v>160.0807272017115</v>
      </c>
      <c r="J140" s="587">
        <f t="shared" si="5"/>
        <v>184.51222332691233</v>
      </c>
      <c r="K140" s="587">
        <f t="shared" si="6"/>
        <v>6.719869330942469</v>
      </c>
      <c r="L140" s="20"/>
      <c r="N140" s="461"/>
    </row>
    <row r="141" spans="1:14" s="204" customFormat="1" ht="15" customHeight="1" thickBot="1">
      <c r="A141" s="442">
        <v>436</v>
      </c>
      <c r="E141" s="583">
        <v>36</v>
      </c>
      <c r="F141" s="584">
        <f aca="true" t="shared" si="9" ref="F141:F172">E$103/E141</f>
        <v>0.25046186111111113</v>
      </c>
      <c r="G141" s="585">
        <f t="shared" si="7"/>
        <v>250.46186111111112</v>
      </c>
      <c r="H141" s="583">
        <v>1.6093</v>
      </c>
      <c r="I141" s="586">
        <f t="shared" si="8"/>
        <v>155.63404033499728</v>
      </c>
      <c r="J141" s="587">
        <f aca="true" t="shared" si="10" ref="J141:J172">I141*$E$104/E$103</f>
        <v>179.38688379005364</v>
      </c>
      <c r="K141" s="587">
        <f t="shared" si="6"/>
        <v>6.533206293971844</v>
      </c>
      <c r="L141" s="20"/>
      <c r="N141" s="461"/>
    </row>
    <row r="142" spans="1:14" s="204" customFormat="1" ht="15" customHeight="1" thickBot="1">
      <c r="A142" s="442">
        <v>435</v>
      </c>
      <c r="E142" s="583">
        <v>37</v>
      </c>
      <c r="F142" s="584">
        <f t="shared" si="9"/>
        <v>0.24369262162162167</v>
      </c>
      <c r="G142" s="585">
        <f t="shared" si="7"/>
        <v>243.69262162162167</v>
      </c>
      <c r="H142" s="583">
        <v>1.6093</v>
      </c>
      <c r="I142" s="586">
        <f t="shared" si="8"/>
        <v>151.4277149205379</v>
      </c>
      <c r="J142" s="587">
        <f t="shared" si="10"/>
        <v>174.53858963356572</v>
      </c>
      <c r="K142" s="587">
        <f t="shared" si="6"/>
        <v>6.356633150891525</v>
      </c>
      <c r="L142" s="20"/>
      <c r="N142" s="461"/>
    </row>
    <row r="143" spans="1:14" s="204" customFormat="1" ht="15" customHeight="1" thickBot="1">
      <c r="A143" s="442">
        <v>434</v>
      </c>
      <c r="E143" s="583">
        <v>38</v>
      </c>
      <c r="F143" s="584">
        <f t="shared" si="9"/>
        <v>0.23727965789473687</v>
      </c>
      <c r="G143" s="585">
        <f t="shared" si="7"/>
        <v>237.27965789473689</v>
      </c>
      <c r="H143" s="583">
        <v>1.6093</v>
      </c>
      <c r="I143" s="586">
        <f t="shared" si="8"/>
        <v>147.44277505420797</v>
      </c>
      <c r="J143" s="587">
        <f t="shared" si="10"/>
        <v>169.94546885373504</v>
      </c>
      <c r="K143" s="587">
        <f t="shared" si="6"/>
        <v>6.189353331131222</v>
      </c>
      <c r="L143" s="20"/>
      <c r="N143" s="461"/>
    </row>
    <row r="144" spans="1:14" s="204" customFormat="1" ht="15" customHeight="1" thickBot="1">
      <c r="A144" s="442">
        <v>433</v>
      </c>
      <c r="E144" s="583">
        <v>39</v>
      </c>
      <c r="F144" s="584">
        <f t="shared" si="9"/>
        <v>0.23119556410256414</v>
      </c>
      <c r="G144" s="585">
        <f t="shared" si="7"/>
        <v>231.19556410256413</v>
      </c>
      <c r="H144" s="583">
        <v>1.6093</v>
      </c>
      <c r="I144" s="586">
        <f t="shared" si="8"/>
        <v>143.66219107845905</v>
      </c>
      <c r="J144" s="587">
        <f t="shared" si="10"/>
        <v>165.5878927292803</v>
      </c>
      <c r="K144" s="587">
        <f t="shared" si="6"/>
        <v>6.030651963666318</v>
      </c>
      <c r="L144" s="20"/>
      <c r="N144" s="461"/>
    </row>
    <row r="145" spans="1:14" s="204" customFormat="1" ht="15" customHeight="1" thickBot="1">
      <c r="A145" s="442">
        <v>432</v>
      </c>
      <c r="E145" s="583">
        <v>40</v>
      </c>
      <c r="F145" s="584">
        <f t="shared" si="9"/>
        <v>0.22541567500000004</v>
      </c>
      <c r="G145" s="585">
        <f t="shared" si="7"/>
        <v>225.41567500000005</v>
      </c>
      <c r="H145" s="583">
        <v>1.6093</v>
      </c>
      <c r="I145" s="586">
        <f>G145/H145</f>
        <v>140.0706363014976</v>
      </c>
      <c r="J145" s="587">
        <f t="shared" si="10"/>
        <v>161.44819541104832</v>
      </c>
      <c r="K145" s="587">
        <f t="shared" si="6"/>
        <v>5.879885664574659</v>
      </c>
      <c r="L145" s="20"/>
      <c r="N145" s="461"/>
    </row>
    <row r="146" spans="1:14" s="204" customFormat="1" ht="15" customHeight="1" thickBot="1">
      <c r="A146" s="442">
        <v>431</v>
      </c>
      <c r="E146" s="583">
        <v>41</v>
      </c>
      <c r="F146" s="584">
        <f t="shared" si="9"/>
        <v>0.2199177317073171</v>
      </c>
      <c r="G146" s="585">
        <f t="shared" si="7"/>
        <v>219.9177317073171</v>
      </c>
      <c r="H146" s="583">
        <v>1.6093</v>
      </c>
      <c r="I146" s="586">
        <f>G146/H146</f>
        <v>136.6542793185342</v>
      </c>
      <c r="J146" s="587">
        <f t="shared" si="10"/>
        <v>157.51043454736418</v>
      </c>
      <c r="K146" s="587">
        <f t="shared" si="6"/>
        <v>5.736473819097229</v>
      </c>
      <c r="L146" s="20"/>
      <c r="N146" s="461"/>
    </row>
    <row r="147" spans="1:14" s="204" customFormat="1" ht="15" customHeight="1" thickBot="1">
      <c r="A147" s="442">
        <v>430</v>
      </c>
      <c r="E147" s="583">
        <v>42</v>
      </c>
      <c r="F147" s="584">
        <f t="shared" si="9"/>
        <v>0.21468159523809527</v>
      </c>
      <c r="G147" s="585">
        <f t="shared" si="7"/>
        <v>214.68159523809527</v>
      </c>
      <c r="H147" s="583">
        <v>1.6093</v>
      </c>
      <c r="I147" s="586">
        <f>G147/H147</f>
        <v>133.40060600142627</v>
      </c>
      <c r="J147" s="587">
        <f t="shared" si="10"/>
        <v>153.76018610576028</v>
      </c>
      <c r="K147" s="587">
        <f t="shared" si="6"/>
        <v>5.599891109118724</v>
      </c>
      <c r="L147" s="20"/>
      <c r="N147" s="461"/>
    </row>
    <row r="148" spans="1:14" s="204" customFormat="1" ht="15" customHeight="1" thickBot="1">
      <c r="A148" s="442">
        <v>429</v>
      </c>
      <c r="E148" s="583">
        <v>43</v>
      </c>
      <c r="F148" s="584">
        <f t="shared" si="9"/>
        <v>0.20968900000000004</v>
      </c>
      <c r="G148" s="585">
        <f t="shared" si="7"/>
        <v>209.68900000000005</v>
      </c>
      <c r="H148" s="583">
        <v>1.6093</v>
      </c>
      <c r="I148" s="586">
        <f aca="true" t="shared" si="11" ref="I148:I172">G148/H148</f>
        <v>130.2982663269745</v>
      </c>
      <c r="J148" s="587">
        <f t="shared" si="10"/>
        <v>150.18436782423097</v>
      </c>
      <c r="K148" s="587">
        <f t="shared" si="6"/>
        <v>5.469661083325265</v>
      </c>
      <c r="L148" s="20"/>
      <c r="N148" s="461"/>
    </row>
    <row r="149" spans="1:14" s="204" customFormat="1" ht="15" customHeight="1" thickBot="1">
      <c r="A149" s="442">
        <v>428</v>
      </c>
      <c r="E149" s="583">
        <v>44</v>
      </c>
      <c r="F149" s="584">
        <f t="shared" si="9"/>
        <v>0.20492334090909095</v>
      </c>
      <c r="G149" s="585">
        <f t="shared" si="7"/>
        <v>204.92334090909094</v>
      </c>
      <c r="H149" s="583">
        <v>1.6093</v>
      </c>
      <c r="I149" s="586">
        <f t="shared" si="11"/>
        <v>127.33694209227052</v>
      </c>
      <c r="J149" s="587">
        <f t="shared" si="10"/>
        <v>146.77108673731664</v>
      </c>
      <c r="K149" s="587">
        <f t="shared" si="6"/>
        <v>5.345350604158782</v>
      </c>
      <c r="L149" s="20"/>
      <c r="N149" s="461"/>
    </row>
    <row r="150" spans="1:14" s="204" customFormat="1" ht="15" customHeight="1" thickBot="1">
      <c r="A150" s="442">
        <v>427</v>
      </c>
      <c r="E150" s="583">
        <v>45</v>
      </c>
      <c r="F150" s="584">
        <f t="shared" si="9"/>
        <v>0.20036948888888892</v>
      </c>
      <c r="G150" s="585">
        <f t="shared" si="7"/>
        <v>200.36948888888892</v>
      </c>
      <c r="H150" s="583">
        <v>1.6093</v>
      </c>
      <c r="I150" s="586">
        <f t="shared" si="11"/>
        <v>124.50723226799785</v>
      </c>
      <c r="J150" s="587">
        <f t="shared" si="10"/>
        <v>143.50950703204293</v>
      </c>
      <c r="K150" s="587">
        <f t="shared" si="6"/>
        <v>5.226565035177476</v>
      </c>
      <c r="L150" s="20"/>
      <c r="N150" s="461"/>
    </row>
    <row r="151" spans="1:14" s="204" customFormat="1" ht="15" customHeight="1" thickBot="1">
      <c r="A151" s="442">
        <v>426</v>
      </c>
      <c r="E151" s="583">
        <v>46</v>
      </c>
      <c r="F151" s="584">
        <f t="shared" si="9"/>
        <v>0.19601363043478265</v>
      </c>
      <c r="G151" s="585">
        <f t="shared" si="7"/>
        <v>196.01363043478264</v>
      </c>
      <c r="H151" s="583">
        <v>1.6093</v>
      </c>
      <c r="I151" s="586">
        <f t="shared" si="11"/>
        <v>121.80055330565007</v>
      </c>
      <c r="J151" s="587">
        <f t="shared" si="10"/>
        <v>140.389735140042</v>
      </c>
      <c r="K151" s="587">
        <f t="shared" si="6"/>
        <v>5.112944056151878</v>
      </c>
      <c r="L151" s="20"/>
      <c r="N151" s="461"/>
    </row>
    <row r="152" spans="1:14" s="204" customFormat="1" ht="15" customHeight="1" thickBot="1">
      <c r="A152" s="442">
        <v>425</v>
      </c>
      <c r="E152" s="583">
        <v>47</v>
      </c>
      <c r="F152" s="584">
        <f t="shared" si="9"/>
        <v>0.1918431276595745</v>
      </c>
      <c r="G152" s="585">
        <f t="shared" si="7"/>
        <v>191.84312765957452</v>
      </c>
      <c r="H152" s="583">
        <v>1.6093</v>
      </c>
      <c r="I152" s="586">
        <f t="shared" si="11"/>
        <v>119.20905217148731</v>
      </c>
      <c r="J152" s="587">
        <f t="shared" si="10"/>
        <v>137.40271949876455</v>
      </c>
      <c r="K152" s="587">
        <f t="shared" si="6"/>
        <v>5.004158012403965</v>
      </c>
      <c r="L152" s="20"/>
      <c r="N152" s="461"/>
    </row>
    <row r="153" spans="1:14" s="204" customFormat="1" ht="15" customHeight="1" thickBot="1">
      <c r="A153" s="442">
        <v>424</v>
      </c>
      <c r="E153" s="583">
        <v>48</v>
      </c>
      <c r="F153" s="584">
        <f t="shared" si="9"/>
        <v>0.18784639583333337</v>
      </c>
      <c r="G153" s="585">
        <f t="shared" si="7"/>
        <v>187.84639583333336</v>
      </c>
      <c r="H153" s="583">
        <v>1.6093</v>
      </c>
      <c r="I153" s="586">
        <f t="shared" si="11"/>
        <v>116.72553025124797</v>
      </c>
      <c r="J153" s="587">
        <f t="shared" si="10"/>
        <v>134.54016284254027</v>
      </c>
      <c r="K153" s="587">
        <f t="shared" si="6"/>
        <v>4.899904720478884</v>
      </c>
      <c r="L153" s="20"/>
      <c r="N153" s="461"/>
    </row>
    <row r="154" spans="1:14" s="204" customFormat="1" ht="15" customHeight="1" thickBot="1">
      <c r="A154" s="442">
        <v>423</v>
      </c>
      <c r="E154" s="583">
        <v>49</v>
      </c>
      <c r="F154" s="584">
        <f t="shared" si="9"/>
        <v>0.1840127959183674</v>
      </c>
      <c r="G154" s="585">
        <f t="shared" si="7"/>
        <v>184.0127959183674</v>
      </c>
      <c r="H154" s="583">
        <v>1.6093</v>
      </c>
      <c r="I154" s="586">
        <f t="shared" si="11"/>
        <v>114.3433765726511</v>
      </c>
      <c r="J154" s="587">
        <f t="shared" si="10"/>
        <v>131.79444523350884</v>
      </c>
      <c r="K154" s="587">
        <f t="shared" si="6"/>
        <v>4.799906664958907</v>
      </c>
      <c r="L154" s="20"/>
      <c r="N154" s="461"/>
    </row>
    <row r="155" spans="1:14" s="204" customFormat="1" ht="15" customHeight="1" thickBot="1">
      <c r="A155" s="442">
        <v>422</v>
      </c>
      <c r="E155" s="583">
        <v>50</v>
      </c>
      <c r="F155" s="584">
        <f t="shared" si="9"/>
        <v>0.18033254000000004</v>
      </c>
      <c r="G155" s="585">
        <f t="shared" si="7"/>
        <v>180.33254000000005</v>
      </c>
      <c r="H155" s="583">
        <v>1.6093</v>
      </c>
      <c r="I155" s="586">
        <f t="shared" si="11"/>
        <v>112.05650904119807</v>
      </c>
      <c r="J155" s="587">
        <f t="shared" si="10"/>
        <v>129.15855632883864</v>
      </c>
      <c r="K155" s="587">
        <f t="shared" si="6"/>
        <v>4.703908531659728</v>
      </c>
      <c r="L155" s="20"/>
      <c r="N155" s="461"/>
    </row>
    <row r="156" spans="1:14" s="204" customFormat="1" ht="15" customHeight="1" thickBot="1">
      <c r="A156" s="442">
        <v>421</v>
      </c>
      <c r="E156" s="583">
        <v>51</v>
      </c>
      <c r="F156" s="584">
        <f t="shared" si="9"/>
        <v>0.17679660784313728</v>
      </c>
      <c r="G156" s="585">
        <f t="shared" si="7"/>
        <v>176.79660784313728</v>
      </c>
      <c r="H156" s="583">
        <v>1.6093</v>
      </c>
      <c r="I156" s="586">
        <f t="shared" si="11"/>
        <v>109.85932258940986</v>
      </c>
      <c r="J156" s="587">
        <f t="shared" si="10"/>
        <v>126.62603561650847</v>
      </c>
      <c r="K156" s="587">
        <f t="shared" si="6"/>
        <v>4.611675031038949</v>
      </c>
      <c r="L156" s="20"/>
      <c r="N156" s="461"/>
    </row>
    <row r="157" spans="1:14" s="204" customFormat="1" ht="15" customHeight="1" thickBot="1">
      <c r="A157" s="442">
        <v>420</v>
      </c>
      <c r="E157" s="583">
        <v>52</v>
      </c>
      <c r="F157" s="584">
        <f t="shared" si="9"/>
        <v>0.1733966730769231</v>
      </c>
      <c r="G157" s="585">
        <f t="shared" si="7"/>
        <v>173.39667307692312</v>
      </c>
      <c r="H157" s="583">
        <v>1.6093</v>
      </c>
      <c r="I157" s="586">
        <f t="shared" si="11"/>
        <v>107.7466433088443</v>
      </c>
      <c r="J157" s="587">
        <f t="shared" si="10"/>
        <v>124.19091954696023</v>
      </c>
      <c r="K157" s="587">
        <f t="shared" si="6"/>
        <v>4.522988972749738</v>
      </c>
      <c r="L157" s="20"/>
      <c r="N157" s="461"/>
    </row>
    <row r="158" spans="1:14" s="204" customFormat="1" ht="15" customHeight="1" thickBot="1">
      <c r="A158" s="442">
        <v>419</v>
      </c>
      <c r="E158" s="583">
        <v>53</v>
      </c>
      <c r="F158" s="584">
        <f t="shared" si="9"/>
        <v>0.17012503773584908</v>
      </c>
      <c r="G158" s="585">
        <f t="shared" si="7"/>
        <v>170.12503773584908</v>
      </c>
      <c r="H158" s="583">
        <v>1.6093</v>
      </c>
      <c r="I158" s="586">
        <f t="shared" si="11"/>
        <v>105.71368777471514</v>
      </c>
      <c r="J158" s="587">
        <f t="shared" si="10"/>
        <v>121.84769464984777</v>
      </c>
      <c r="K158" s="587">
        <f t="shared" si="6"/>
        <v>4.4376495581695545</v>
      </c>
      <c r="L158" s="20"/>
      <c r="N158" s="461"/>
    </row>
    <row r="159" spans="1:14" s="204" customFormat="1" ht="15" customHeight="1" thickBot="1">
      <c r="A159" s="442">
        <v>418</v>
      </c>
      <c r="E159" s="583">
        <v>54</v>
      </c>
      <c r="F159" s="584">
        <f t="shared" si="9"/>
        <v>0.1669745740740741</v>
      </c>
      <c r="G159" s="585">
        <f t="shared" si="7"/>
        <v>166.9745740740741</v>
      </c>
      <c r="H159" s="583">
        <v>1.6093</v>
      </c>
      <c r="I159" s="586">
        <f t="shared" si="11"/>
        <v>103.7560268899982</v>
      </c>
      <c r="J159" s="587">
        <f t="shared" si="10"/>
        <v>119.59125586003579</v>
      </c>
      <c r="K159" s="587">
        <f t="shared" si="6"/>
        <v>4.355470862647897</v>
      </c>
      <c r="L159" s="20"/>
      <c r="N159" s="461"/>
    </row>
    <row r="160" spans="1:14" s="204" customFormat="1" ht="15" customHeight="1" thickBot="1">
      <c r="A160" s="442">
        <v>417</v>
      </c>
      <c r="E160" s="583">
        <v>55</v>
      </c>
      <c r="F160" s="584">
        <f t="shared" si="9"/>
        <v>0.16393867272727275</v>
      </c>
      <c r="G160" s="585">
        <f t="shared" si="7"/>
        <v>163.93867272727275</v>
      </c>
      <c r="H160" s="583">
        <v>1.6093</v>
      </c>
      <c r="I160" s="586">
        <f t="shared" si="11"/>
        <v>101.86955367381641</v>
      </c>
      <c r="J160" s="587">
        <f t="shared" si="10"/>
        <v>117.41686938985332</v>
      </c>
      <c r="K160" s="587">
        <f t="shared" si="6"/>
        <v>4.276280483327025</v>
      </c>
      <c r="L160" s="20"/>
      <c r="N160" s="461"/>
    </row>
    <row r="161" spans="1:14" s="204" customFormat="1" ht="15" customHeight="1" thickBot="1">
      <c r="A161" s="442">
        <v>416</v>
      </c>
      <c r="E161" s="583">
        <v>56</v>
      </c>
      <c r="F161" s="584">
        <f t="shared" si="9"/>
        <v>0.16101119642857145</v>
      </c>
      <c r="G161" s="585">
        <f t="shared" si="7"/>
        <v>161.01119642857145</v>
      </c>
      <c r="H161" s="583">
        <v>1.6093</v>
      </c>
      <c r="I161" s="586">
        <f t="shared" si="11"/>
        <v>100.0504545010697</v>
      </c>
      <c r="J161" s="587">
        <f t="shared" si="10"/>
        <v>115.32013957932021</v>
      </c>
      <c r="K161" s="587">
        <f t="shared" si="6"/>
        <v>4.199918331839044</v>
      </c>
      <c r="L161" s="20"/>
      <c r="N161" s="461"/>
    </row>
    <row r="162" spans="1:14" s="204" customFormat="1" ht="15" customHeight="1" thickBot="1">
      <c r="A162" s="442">
        <v>415</v>
      </c>
      <c r="E162" s="583">
        <v>57</v>
      </c>
      <c r="F162" s="584">
        <f t="shared" si="9"/>
        <v>0.15818643859649126</v>
      </c>
      <c r="G162" s="585">
        <f t="shared" si="7"/>
        <v>158.18643859649126</v>
      </c>
      <c r="H162" s="583">
        <v>1.6093</v>
      </c>
      <c r="I162" s="586">
        <f t="shared" si="11"/>
        <v>98.29518336947199</v>
      </c>
      <c r="J162" s="587">
        <f t="shared" si="10"/>
        <v>113.29697923582337</v>
      </c>
      <c r="K162" s="587">
        <f t="shared" si="6"/>
        <v>4.126235554087481</v>
      </c>
      <c r="L162" s="20"/>
      <c r="N162" s="461"/>
    </row>
    <row r="163" spans="1:14" s="204" customFormat="1" ht="15" customHeight="1" thickBot="1">
      <c r="A163" s="442">
        <v>414</v>
      </c>
      <c r="E163" s="583">
        <v>58</v>
      </c>
      <c r="F163" s="584">
        <f t="shared" si="9"/>
        <v>0.15545908620689658</v>
      </c>
      <c r="G163" s="585">
        <f t="shared" si="7"/>
        <v>155.4590862068966</v>
      </c>
      <c r="H163" s="583">
        <v>1.6093</v>
      </c>
      <c r="I163" s="586">
        <f t="shared" si="11"/>
        <v>96.60043882861902</v>
      </c>
      <c r="J163" s="587">
        <f t="shared" si="10"/>
        <v>111.34358304210228</v>
      </c>
      <c r="K163" s="587">
        <f t="shared" si="6"/>
        <v>4.055093561775627</v>
      </c>
      <c r="L163" s="20"/>
      <c r="N163" s="461"/>
    </row>
    <row r="164" spans="1:14" s="204" customFormat="1" ht="15" customHeight="1" thickBot="1">
      <c r="A164" s="442">
        <v>413</v>
      </c>
      <c r="E164" s="583">
        <v>59</v>
      </c>
      <c r="F164" s="584">
        <f t="shared" si="9"/>
        <v>0.152824186440678</v>
      </c>
      <c r="G164" s="585">
        <f t="shared" si="7"/>
        <v>152.824186440678</v>
      </c>
      <c r="H164" s="583">
        <v>1.6093</v>
      </c>
      <c r="I164" s="586">
        <f t="shared" si="11"/>
        <v>94.9631432552526</v>
      </c>
      <c r="J164" s="587">
        <f t="shared" si="10"/>
        <v>109.45640366850733</v>
      </c>
      <c r="K164" s="587">
        <f t="shared" si="6"/>
        <v>3.9863631624234985</v>
      </c>
      <c r="L164" s="20"/>
      <c r="N164" s="461"/>
    </row>
    <row r="165" spans="1:14" s="204" customFormat="1" ht="15" customHeight="1" thickBot="1">
      <c r="A165" s="442">
        <v>412</v>
      </c>
      <c r="E165" s="583">
        <v>60</v>
      </c>
      <c r="F165" s="584">
        <f t="shared" si="9"/>
        <v>0.15027711666666668</v>
      </c>
      <c r="G165" s="585">
        <f t="shared" si="7"/>
        <v>150.27711666666667</v>
      </c>
      <c r="H165" s="583">
        <v>1.6093</v>
      </c>
      <c r="I165" s="586">
        <f t="shared" si="11"/>
        <v>93.38042420099836</v>
      </c>
      <c r="J165" s="587">
        <f t="shared" si="10"/>
        <v>107.63213027403218</v>
      </c>
      <c r="K165" s="587">
        <f t="shared" si="6"/>
        <v>3.9199237763831065</v>
      </c>
      <c r="L165" s="20"/>
      <c r="N165" s="461"/>
    </row>
    <row r="166" spans="1:14" s="204" customFormat="1" ht="15" customHeight="1" thickBot="1">
      <c r="A166" s="442">
        <v>411</v>
      </c>
      <c r="E166" s="583">
        <v>61</v>
      </c>
      <c r="F166" s="584">
        <f t="shared" si="9"/>
        <v>0.1478135573770492</v>
      </c>
      <c r="G166" s="585">
        <f t="shared" si="7"/>
        <v>147.81355737704922</v>
      </c>
      <c r="H166" s="583">
        <v>1.6093</v>
      </c>
      <c r="I166" s="586">
        <f t="shared" si="11"/>
        <v>91.84959757475252</v>
      </c>
      <c r="J166" s="587">
        <f t="shared" si="10"/>
        <v>105.8676691219989</v>
      </c>
      <c r="K166" s="587">
        <f t="shared" si="6"/>
        <v>3.8556627308686298</v>
      </c>
      <c r="L166" s="20"/>
      <c r="N166" s="461"/>
    </row>
    <row r="167" spans="1:14" s="204" customFormat="1" ht="15" customHeight="1" thickBot="1">
      <c r="A167" s="442">
        <v>410</v>
      </c>
      <c r="E167" s="583">
        <v>62</v>
      </c>
      <c r="F167" s="584">
        <f t="shared" si="9"/>
        <v>0.14542946774193552</v>
      </c>
      <c r="G167" s="585">
        <f t="shared" si="7"/>
        <v>145.42946774193553</v>
      </c>
      <c r="H167" s="583">
        <v>1.6093</v>
      </c>
      <c r="I167" s="586">
        <f t="shared" si="11"/>
        <v>90.3681524525791</v>
      </c>
      <c r="J167" s="587">
        <f t="shared" si="10"/>
        <v>104.16012607164409</v>
      </c>
      <c r="K167" s="587">
        <f t="shared" si="6"/>
        <v>3.7934746223062326</v>
      </c>
      <c r="L167" s="20"/>
      <c r="N167" s="461"/>
    </row>
    <row r="168" spans="1:14" s="204" customFormat="1" ht="15" customHeight="1" thickBot="1">
      <c r="A168" s="442">
        <v>409</v>
      </c>
      <c r="E168" s="583">
        <v>63</v>
      </c>
      <c r="F168" s="584">
        <f t="shared" si="9"/>
        <v>0.14312106349206352</v>
      </c>
      <c r="G168" s="585">
        <f t="shared" si="7"/>
        <v>143.1210634920635</v>
      </c>
      <c r="H168" s="583">
        <v>1.6093</v>
      </c>
      <c r="I168" s="586">
        <f t="shared" si="11"/>
        <v>88.93373733428417</v>
      </c>
      <c r="J168" s="587">
        <f t="shared" si="10"/>
        <v>102.50679073717353</v>
      </c>
      <c r="K168" s="587">
        <f t="shared" si="6"/>
        <v>3.733260739412483</v>
      </c>
      <c r="L168" s="20"/>
      <c r="N168" s="461"/>
    </row>
    <row r="169" spans="1:14" s="204" customFormat="1" ht="15" customHeight="1" thickBot="1">
      <c r="A169" s="442">
        <v>408</v>
      </c>
      <c r="E169" s="583">
        <v>64</v>
      </c>
      <c r="F169" s="584">
        <f t="shared" si="9"/>
        <v>0.14088479687500002</v>
      </c>
      <c r="G169" s="585">
        <f t="shared" si="7"/>
        <v>140.88479687500003</v>
      </c>
      <c r="H169" s="583">
        <v>1.6093</v>
      </c>
      <c r="I169" s="586">
        <f t="shared" si="11"/>
        <v>87.54414768843598</v>
      </c>
      <c r="J169" s="587">
        <f t="shared" si="10"/>
        <v>100.90512213190519</v>
      </c>
      <c r="K169" s="587">
        <f t="shared" si="6"/>
        <v>3.6749285403591627</v>
      </c>
      <c r="L169" s="20"/>
      <c r="N169" s="461"/>
    </row>
    <row r="170" spans="1:14" s="204" customFormat="1" ht="15" customHeight="1" thickBot="1">
      <c r="A170" s="442">
        <v>407</v>
      </c>
      <c r="E170" s="583">
        <v>65</v>
      </c>
      <c r="F170" s="584">
        <f t="shared" si="9"/>
        <v>0.1387173384615385</v>
      </c>
      <c r="G170" s="585">
        <f t="shared" si="7"/>
        <v>138.7173384615385</v>
      </c>
      <c r="H170" s="583">
        <v>1.6093</v>
      </c>
      <c r="I170" s="586">
        <f t="shared" si="11"/>
        <v>86.19731464707544</v>
      </c>
      <c r="J170" s="587">
        <f t="shared" si="10"/>
        <v>99.3527356375682</v>
      </c>
      <c r="K170" s="587">
        <f t="shared" si="6"/>
        <v>3.6183911781997904</v>
      </c>
      <c r="L170" s="20"/>
      <c r="N170" s="461"/>
    </row>
    <row r="171" spans="1:14" s="204" customFormat="1" ht="15" customHeight="1" thickBot="1">
      <c r="A171" s="442">
        <v>406</v>
      </c>
      <c r="E171" s="583">
        <v>66</v>
      </c>
      <c r="F171" s="584">
        <f t="shared" si="9"/>
        <v>0.13661556060606062</v>
      </c>
      <c r="G171" s="585">
        <f t="shared" si="7"/>
        <v>136.61556060606063</v>
      </c>
      <c r="H171" s="583">
        <v>1.6093</v>
      </c>
      <c r="I171" s="586">
        <f t="shared" si="11"/>
        <v>84.89129472818034</v>
      </c>
      <c r="J171" s="587">
        <f t="shared" si="10"/>
        <v>97.84739115821108</v>
      </c>
      <c r="K171" s="587">
        <f t="shared" si="6"/>
        <v>3.5635670694391877</v>
      </c>
      <c r="L171" s="20"/>
      <c r="N171" s="461"/>
    </row>
    <row r="172" spans="1:14" s="204" customFormat="1" ht="15" customHeight="1" thickBot="1">
      <c r="A172" s="442">
        <v>405</v>
      </c>
      <c r="E172" s="583">
        <v>67</v>
      </c>
      <c r="F172" s="584">
        <f t="shared" si="9"/>
        <v>0.13457652238805973</v>
      </c>
      <c r="G172" s="585">
        <f t="shared" si="7"/>
        <v>134.57652238805971</v>
      </c>
      <c r="H172" s="583">
        <v>1.6093</v>
      </c>
      <c r="I172" s="586">
        <f t="shared" si="11"/>
        <v>83.624260478506</v>
      </c>
      <c r="J172" s="587">
        <f t="shared" si="10"/>
        <v>96.3869823349542</v>
      </c>
      <c r="K172" s="587">
        <f t="shared" si="6"/>
        <v>3.510379501238603</v>
      </c>
      <c r="L172" s="20"/>
      <c r="N172" s="461"/>
    </row>
    <row r="173" spans="1:14" s="204" customFormat="1" ht="15" customHeight="1" thickBot="1">
      <c r="A173" s="442">
        <v>404</v>
      </c>
      <c r="E173" s="482" t="s">
        <v>22</v>
      </c>
      <c r="F173" s="448"/>
      <c r="K173" s="448"/>
      <c r="N173" s="461"/>
    </row>
    <row r="174" spans="1:14" s="204" customFormat="1" ht="15" customHeight="1" thickBot="1">
      <c r="A174" s="442">
        <v>403</v>
      </c>
      <c r="F174" s="448"/>
      <c r="K174" s="448"/>
      <c r="N174" s="461"/>
    </row>
    <row r="175" spans="1:14" s="204" customFormat="1" ht="15" customHeight="1" thickBot="1">
      <c r="A175" s="442">
        <v>402</v>
      </c>
      <c r="F175" s="448"/>
      <c r="K175" s="448"/>
      <c r="N175" s="461"/>
    </row>
    <row r="176" spans="1:14" s="204" customFormat="1" ht="15" customHeight="1" thickBot="1">
      <c r="A176" s="442">
        <v>401</v>
      </c>
      <c r="F176" s="448"/>
      <c r="K176" s="448"/>
      <c r="N176" s="461"/>
    </row>
    <row r="177" spans="1:14" s="204" customFormat="1" ht="15" customHeight="1" thickBot="1">
      <c r="A177" s="442">
        <v>400</v>
      </c>
      <c r="F177" s="448"/>
      <c r="K177" s="448"/>
      <c r="N177" s="461"/>
    </row>
    <row r="178" spans="1:14" s="204" customFormat="1" ht="15" customHeight="1" thickBot="1">
      <c r="A178" s="442">
        <v>399</v>
      </c>
      <c r="F178" s="448"/>
      <c r="K178" s="448"/>
      <c r="N178" s="461"/>
    </row>
    <row r="179" spans="1:14" s="204" customFormat="1" ht="15" customHeight="1" thickBot="1">
      <c r="A179" s="442">
        <v>398</v>
      </c>
      <c r="F179" s="448"/>
      <c r="K179" s="448"/>
      <c r="N179" s="461"/>
    </row>
    <row r="180" spans="1:14" s="204" customFormat="1" ht="15" customHeight="1" thickBot="1">
      <c r="A180" s="442">
        <v>397</v>
      </c>
      <c r="F180" s="448"/>
      <c r="K180" s="448"/>
      <c r="N180" s="461"/>
    </row>
    <row r="181" spans="1:14" s="204" customFormat="1" ht="15" customHeight="1" thickBot="1">
      <c r="A181" s="442">
        <v>396</v>
      </c>
      <c r="F181" s="448"/>
      <c r="K181" s="448"/>
      <c r="N181" s="461"/>
    </row>
    <row r="182" spans="1:14" s="204" customFormat="1" ht="15" customHeight="1" thickBot="1">
      <c r="A182" s="442">
        <v>395</v>
      </c>
      <c r="F182" s="448"/>
      <c r="K182" s="448"/>
      <c r="N182" s="461"/>
    </row>
    <row r="183" spans="1:14" s="204" customFormat="1" ht="15" customHeight="1" thickBot="1">
      <c r="A183" s="442">
        <v>394</v>
      </c>
      <c r="F183" s="448"/>
      <c r="K183" s="448"/>
      <c r="N183" s="461"/>
    </row>
    <row r="184" spans="1:14" s="204" customFormat="1" ht="15" customHeight="1" thickBot="1">
      <c r="A184" s="442">
        <v>393</v>
      </c>
      <c r="F184" s="448"/>
      <c r="K184" s="448"/>
      <c r="N184" s="461"/>
    </row>
    <row r="185" spans="1:14" s="204" customFormat="1" ht="15" customHeight="1" thickBot="1">
      <c r="A185" s="442">
        <v>392</v>
      </c>
      <c r="F185" s="448"/>
      <c r="K185" s="448"/>
      <c r="N185" s="461"/>
    </row>
    <row r="186" spans="1:14" s="204" customFormat="1" ht="15" customHeight="1" thickBot="1">
      <c r="A186" s="442">
        <v>391</v>
      </c>
      <c r="F186" s="448"/>
      <c r="K186" s="448"/>
      <c r="N186" s="461"/>
    </row>
    <row r="187" spans="1:14" s="204" customFormat="1" ht="15" customHeight="1" thickBot="1">
      <c r="A187" s="442">
        <v>390</v>
      </c>
      <c r="F187" s="448"/>
      <c r="K187" s="448"/>
      <c r="N187" s="461"/>
    </row>
    <row r="188" spans="1:14" s="204" customFormat="1" ht="15" customHeight="1" thickBot="1">
      <c r="A188" s="442">
        <v>389</v>
      </c>
      <c r="F188" s="448"/>
      <c r="K188" s="448"/>
      <c r="N188" s="461"/>
    </row>
    <row r="189" spans="1:14" s="204" customFormat="1" ht="15" customHeight="1" thickBot="1">
      <c r="A189" s="442">
        <v>388</v>
      </c>
      <c r="F189" s="448"/>
      <c r="K189" s="448"/>
      <c r="N189" s="461"/>
    </row>
    <row r="190" spans="1:14" s="204" customFormat="1" ht="15" customHeight="1" thickBot="1">
      <c r="A190" s="442">
        <v>387</v>
      </c>
      <c r="F190" s="448"/>
      <c r="K190" s="448"/>
      <c r="N190" s="461"/>
    </row>
    <row r="191" spans="1:14" s="204" customFormat="1" ht="15" customHeight="1" thickBot="1">
      <c r="A191" s="442">
        <v>386</v>
      </c>
      <c r="F191" s="448"/>
      <c r="K191" s="448"/>
      <c r="N191" s="461"/>
    </row>
    <row r="192" spans="1:14" s="204" customFormat="1" ht="15" customHeight="1" thickBot="1">
      <c r="A192" s="442">
        <v>385</v>
      </c>
      <c r="F192" s="448"/>
      <c r="K192" s="448"/>
      <c r="N192" s="461"/>
    </row>
    <row r="193" spans="1:14" s="204" customFormat="1" ht="15" customHeight="1" thickBot="1">
      <c r="A193" s="442">
        <v>384</v>
      </c>
      <c r="F193" s="448"/>
      <c r="K193" s="448"/>
      <c r="N193" s="461"/>
    </row>
    <row r="194" spans="1:14" s="204" customFormat="1" ht="15" customHeight="1" thickBot="1">
      <c r="A194" s="442">
        <v>383</v>
      </c>
      <c r="F194" s="448"/>
      <c r="K194" s="448"/>
      <c r="N194" s="461"/>
    </row>
    <row r="195" spans="1:14" s="204" customFormat="1" ht="15" customHeight="1" thickBot="1">
      <c r="A195" s="442">
        <v>382</v>
      </c>
      <c r="F195" s="448"/>
      <c r="K195" s="448"/>
      <c r="N195" s="461"/>
    </row>
    <row r="196" spans="1:14" s="204" customFormat="1" ht="15" customHeight="1" thickBot="1">
      <c r="A196" s="442">
        <v>381</v>
      </c>
      <c r="F196" s="448"/>
      <c r="K196" s="448"/>
      <c r="N196" s="461"/>
    </row>
    <row r="197" spans="1:14" s="204" customFormat="1" ht="15" customHeight="1" thickBot="1">
      <c r="A197" s="442">
        <v>380</v>
      </c>
      <c r="F197" s="448"/>
      <c r="K197" s="448"/>
      <c r="N197" s="461"/>
    </row>
    <row r="198" spans="1:14" s="204" customFormat="1" ht="15" customHeight="1" thickBot="1">
      <c r="A198" s="442">
        <v>379</v>
      </c>
      <c r="F198" s="448"/>
      <c r="K198" s="448"/>
      <c r="N198" s="461"/>
    </row>
    <row r="199" spans="1:14" s="204" customFormat="1" ht="15" customHeight="1" thickBot="1">
      <c r="A199" s="442">
        <v>378</v>
      </c>
      <c r="F199" s="448"/>
      <c r="K199" s="448"/>
      <c r="N199" s="461"/>
    </row>
    <row r="200" ht="15" customHeight="1" thickBot="1">
      <c r="A200" s="290">
        <v>377</v>
      </c>
    </row>
    <row r="201" ht="15" customHeight="1" thickBot="1">
      <c r="A201" s="290">
        <v>376</v>
      </c>
    </row>
    <row r="202" ht="15" customHeight="1" thickBot="1">
      <c r="A202" s="290">
        <v>375</v>
      </c>
    </row>
    <row r="203" ht="15" customHeight="1" thickBot="1">
      <c r="A203" s="290">
        <v>374</v>
      </c>
    </row>
    <row r="204" ht="15" customHeight="1" thickBot="1">
      <c r="A204" s="290">
        <v>373</v>
      </c>
    </row>
    <row r="205" ht="15" customHeight="1" thickBot="1">
      <c r="A205" s="290">
        <v>372</v>
      </c>
    </row>
    <row r="206" ht="15" customHeight="1" thickBot="1">
      <c r="A206" s="290">
        <v>371</v>
      </c>
    </row>
    <row r="207" ht="15" customHeight="1" thickBot="1">
      <c r="A207" s="290">
        <v>370</v>
      </c>
    </row>
    <row r="208" ht="15" customHeight="1" thickBot="1">
      <c r="A208" s="290">
        <v>369</v>
      </c>
    </row>
    <row r="209" ht="15" customHeight="1" thickBot="1">
      <c r="A209" s="290">
        <v>368</v>
      </c>
    </row>
    <row r="210" ht="15" customHeight="1" thickBot="1">
      <c r="A210" s="290">
        <v>367</v>
      </c>
    </row>
    <row r="211" ht="15" customHeight="1" thickBot="1">
      <c r="A211" s="290">
        <v>366</v>
      </c>
    </row>
    <row r="212" ht="15" customHeight="1" thickBot="1">
      <c r="A212" s="290">
        <v>365</v>
      </c>
    </row>
    <row r="213" ht="15" customHeight="1" thickBot="1">
      <c r="A213" s="290">
        <v>364</v>
      </c>
    </row>
    <row r="214" ht="15" customHeight="1" thickBot="1">
      <c r="A214" s="290">
        <v>363</v>
      </c>
    </row>
    <row r="215" ht="15" customHeight="1" thickBot="1">
      <c r="A215" s="290">
        <v>362</v>
      </c>
    </row>
    <row r="216" ht="15" customHeight="1" thickBot="1">
      <c r="A216" s="290">
        <v>361</v>
      </c>
    </row>
    <row r="217" ht="15" customHeight="1" thickBot="1">
      <c r="A217" s="290">
        <v>360</v>
      </c>
    </row>
    <row r="218" ht="15" customHeight="1" thickBot="1">
      <c r="A218" s="290">
        <v>359</v>
      </c>
    </row>
    <row r="219" ht="15" customHeight="1" thickBot="1">
      <c r="A219" s="290">
        <v>358</v>
      </c>
    </row>
    <row r="220" ht="15" customHeight="1" thickBot="1">
      <c r="A220" s="290">
        <v>357</v>
      </c>
    </row>
    <row r="221" ht="15" customHeight="1" thickBot="1">
      <c r="A221" s="290">
        <v>356</v>
      </c>
    </row>
    <row r="222" ht="15" customHeight="1" thickBot="1">
      <c r="A222" s="290">
        <v>355</v>
      </c>
    </row>
    <row r="223" ht="15" customHeight="1" thickBot="1">
      <c r="A223" s="290">
        <v>354</v>
      </c>
    </row>
    <row r="224" ht="15" customHeight="1" thickBot="1">
      <c r="A224" s="290">
        <v>353</v>
      </c>
    </row>
    <row r="225" ht="15" customHeight="1" thickBot="1">
      <c r="A225" s="290">
        <v>352</v>
      </c>
    </row>
    <row r="226" ht="15" customHeight="1" thickBot="1">
      <c r="A226" s="290">
        <v>351</v>
      </c>
    </row>
    <row r="227" ht="15" customHeight="1" thickBot="1">
      <c r="A227" s="290">
        <v>350</v>
      </c>
    </row>
    <row r="228" ht="15" customHeight="1" thickBot="1">
      <c r="A228" s="290">
        <v>349</v>
      </c>
    </row>
    <row r="229" ht="15" customHeight="1" thickBot="1">
      <c r="A229" s="290">
        <v>348</v>
      </c>
    </row>
    <row r="230" ht="15" customHeight="1" thickBot="1">
      <c r="A230" s="290">
        <v>347</v>
      </c>
    </row>
    <row r="231" ht="15" customHeight="1" thickBot="1">
      <c r="A231" s="290">
        <v>346</v>
      </c>
    </row>
    <row r="232" ht="15" customHeight="1" thickBot="1">
      <c r="A232" s="290">
        <v>345</v>
      </c>
    </row>
    <row r="233" ht="15" customHeight="1" thickBot="1">
      <c r="A233" s="290">
        <v>344</v>
      </c>
    </row>
    <row r="234" ht="15" customHeight="1" thickBot="1">
      <c r="A234" s="290">
        <v>343</v>
      </c>
    </row>
    <row r="235" ht="15" customHeight="1" thickBot="1">
      <c r="A235" s="290">
        <v>342</v>
      </c>
    </row>
    <row r="236" ht="15" customHeight="1" thickBot="1">
      <c r="A236" s="290">
        <v>341</v>
      </c>
    </row>
    <row r="237" ht="15" customHeight="1" thickBot="1">
      <c r="A237" s="290">
        <v>340</v>
      </c>
    </row>
    <row r="238" ht="15" customHeight="1" thickBot="1">
      <c r="A238" s="290">
        <v>339</v>
      </c>
    </row>
    <row r="239" ht="15" customHeight="1" thickBot="1">
      <c r="A239" s="290">
        <v>338</v>
      </c>
    </row>
    <row r="240" ht="15" customHeight="1" thickBot="1">
      <c r="A240" s="290">
        <v>337</v>
      </c>
    </row>
    <row r="241" ht="15" customHeight="1" thickBot="1">
      <c r="A241" s="290">
        <v>336</v>
      </c>
    </row>
    <row r="242" ht="15" customHeight="1" thickBot="1">
      <c r="A242" s="290">
        <v>335</v>
      </c>
    </row>
    <row r="243" ht="15" customHeight="1" thickBot="1">
      <c r="A243" s="290">
        <v>334</v>
      </c>
    </row>
    <row r="244" ht="15" customHeight="1" thickBot="1">
      <c r="A244" s="290">
        <v>333</v>
      </c>
    </row>
    <row r="245" ht="15" customHeight="1" thickBot="1">
      <c r="A245" s="290">
        <v>332</v>
      </c>
    </row>
    <row r="246" ht="15" customHeight="1" thickBot="1">
      <c r="A246" s="290">
        <v>331</v>
      </c>
    </row>
    <row r="247" ht="15" customHeight="1" thickBot="1">
      <c r="A247" s="290">
        <v>330</v>
      </c>
    </row>
    <row r="248" ht="15" customHeight="1" thickBot="1">
      <c r="A248" s="290">
        <v>329</v>
      </c>
    </row>
    <row r="249" ht="15" customHeight="1" thickBot="1">
      <c r="A249" s="290">
        <v>328</v>
      </c>
    </row>
    <row r="250" ht="15" customHeight="1" thickBot="1">
      <c r="A250" s="290">
        <v>327</v>
      </c>
    </row>
    <row r="251" ht="15" customHeight="1" thickBot="1">
      <c r="A251" s="290">
        <v>326</v>
      </c>
    </row>
    <row r="252" ht="15" customHeight="1" thickBot="1">
      <c r="A252" s="290">
        <v>325</v>
      </c>
    </row>
    <row r="253" ht="15" customHeight="1" thickBot="1">
      <c r="A253" s="290">
        <v>324</v>
      </c>
    </row>
    <row r="254" ht="15" customHeight="1" thickBot="1">
      <c r="A254" s="290">
        <v>323</v>
      </c>
    </row>
    <row r="255" ht="15" customHeight="1" thickBot="1">
      <c r="A255" s="290">
        <v>322</v>
      </c>
    </row>
    <row r="256" ht="15" customHeight="1" thickBot="1">
      <c r="A256" s="290">
        <v>321</v>
      </c>
    </row>
    <row r="257" ht="15" customHeight="1" thickBot="1">
      <c r="A257" s="290">
        <v>320</v>
      </c>
    </row>
    <row r="258" ht="15" customHeight="1" thickBot="1">
      <c r="A258" s="290">
        <v>319</v>
      </c>
    </row>
    <row r="259" ht="15" customHeight="1" thickBot="1">
      <c r="A259" s="290">
        <v>318</v>
      </c>
    </row>
    <row r="260" ht="15" customHeight="1" thickBot="1">
      <c r="A260" s="290">
        <v>317</v>
      </c>
    </row>
    <row r="261" ht="15" customHeight="1" thickBot="1">
      <c r="A261" s="290">
        <v>316</v>
      </c>
    </row>
    <row r="262" ht="15" customHeight="1" thickBot="1">
      <c r="A262" s="290">
        <v>315</v>
      </c>
    </row>
    <row r="263" ht="15" customHeight="1" thickBot="1">
      <c r="A263" s="290">
        <v>314</v>
      </c>
    </row>
    <row r="264" ht="15" customHeight="1" thickBot="1">
      <c r="A264" s="290">
        <v>313</v>
      </c>
    </row>
    <row r="265" ht="15" customHeight="1" thickBot="1">
      <c r="A265" s="290">
        <v>312</v>
      </c>
    </row>
    <row r="266" ht="15" customHeight="1" thickBot="1">
      <c r="A266" s="290">
        <v>311</v>
      </c>
    </row>
    <row r="267" ht="15" customHeight="1" thickBot="1">
      <c r="A267" s="290">
        <v>310</v>
      </c>
    </row>
    <row r="268" ht="15" customHeight="1" thickBot="1">
      <c r="A268" s="290">
        <v>309</v>
      </c>
    </row>
    <row r="269" ht="15" customHeight="1" thickBot="1">
      <c r="A269" s="290">
        <v>308</v>
      </c>
    </row>
    <row r="270" ht="15" customHeight="1" thickBot="1">
      <c r="A270" s="290">
        <v>307</v>
      </c>
    </row>
    <row r="271" ht="15" customHeight="1" thickBot="1">
      <c r="A271" s="290">
        <v>306</v>
      </c>
    </row>
    <row r="272" ht="15" customHeight="1" thickBot="1">
      <c r="A272" s="290">
        <v>305</v>
      </c>
    </row>
    <row r="273" ht="15" customHeight="1" thickBot="1">
      <c r="A273" s="290">
        <v>304</v>
      </c>
    </row>
    <row r="274" ht="15" customHeight="1" thickBot="1">
      <c r="A274" s="290">
        <v>303</v>
      </c>
    </row>
    <row r="275" ht="15" customHeight="1" thickBot="1">
      <c r="A275" s="290">
        <v>302</v>
      </c>
    </row>
    <row r="276" ht="15" customHeight="1" thickBot="1">
      <c r="A276" s="290">
        <v>301</v>
      </c>
    </row>
    <row r="277" ht="15" customHeight="1" thickBot="1">
      <c r="A277" s="290">
        <v>300</v>
      </c>
    </row>
    <row r="278" ht="15" customHeight="1" thickBot="1">
      <c r="A278" s="290">
        <v>299</v>
      </c>
    </row>
    <row r="279" ht="15" customHeight="1" thickBot="1">
      <c r="A279" s="290">
        <v>298</v>
      </c>
    </row>
    <row r="280" ht="15" customHeight="1" thickBot="1">
      <c r="A280" s="290">
        <v>297</v>
      </c>
    </row>
    <row r="281" ht="15" customHeight="1" thickBot="1">
      <c r="A281" s="290">
        <v>296</v>
      </c>
    </row>
    <row r="282" ht="15" customHeight="1" thickBot="1">
      <c r="A282" s="290">
        <v>295</v>
      </c>
    </row>
    <row r="283" ht="15" customHeight="1" thickBot="1">
      <c r="A283" s="290">
        <v>294</v>
      </c>
    </row>
    <row r="284" ht="15" customHeight="1" thickBot="1">
      <c r="A284" s="290">
        <v>293</v>
      </c>
    </row>
    <row r="285" ht="15" customHeight="1" thickBot="1">
      <c r="A285" s="290">
        <v>292</v>
      </c>
    </row>
    <row r="286" ht="15" customHeight="1" thickBot="1">
      <c r="A286" s="290">
        <v>291</v>
      </c>
    </row>
    <row r="287" ht="15" customHeight="1" thickBot="1">
      <c r="A287" s="290">
        <v>290</v>
      </c>
    </row>
    <row r="288" ht="15" customHeight="1" thickBot="1">
      <c r="A288" s="290">
        <v>289</v>
      </c>
    </row>
    <row r="289" ht="15" customHeight="1" thickBot="1">
      <c r="A289" s="290">
        <v>288</v>
      </c>
    </row>
    <row r="290" ht="15" customHeight="1" thickBot="1">
      <c r="A290" s="290">
        <v>287</v>
      </c>
    </row>
    <row r="291" ht="15" customHeight="1" thickBot="1">
      <c r="A291" s="290">
        <v>286</v>
      </c>
    </row>
    <row r="292" ht="15" customHeight="1" thickBot="1">
      <c r="A292" s="290">
        <v>285</v>
      </c>
    </row>
    <row r="293" ht="15" customHeight="1" thickBot="1">
      <c r="A293" s="290">
        <v>284</v>
      </c>
    </row>
    <row r="294" ht="15" customHeight="1" thickBot="1">
      <c r="A294" s="290">
        <v>283</v>
      </c>
    </row>
    <row r="295" ht="15" customHeight="1" thickBot="1">
      <c r="A295" s="290">
        <v>282</v>
      </c>
    </row>
    <row r="296" ht="15" customHeight="1" thickBot="1">
      <c r="A296" s="290">
        <v>281</v>
      </c>
    </row>
    <row r="297" ht="15" customHeight="1" thickBot="1">
      <c r="A297" s="290">
        <v>280</v>
      </c>
    </row>
    <row r="298" ht="15" customHeight="1" thickBot="1">
      <c r="A298" s="290">
        <v>279</v>
      </c>
    </row>
    <row r="299" ht="15" customHeight="1" thickBot="1">
      <c r="A299" s="290">
        <v>278</v>
      </c>
    </row>
    <row r="300" ht="15" customHeight="1" thickBot="1">
      <c r="A300" s="290">
        <v>277</v>
      </c>
    </row>
    <row r="301" ht="15" customHeight="1" thickBot="1">
      <c r="A301" s="290">
        <v>276</v>
      </c>
    </row>
    <row r="302" ht="15" customHeight="1" thickBot="1">
      <c r="A302" s="290">
        <v>275</v>
      </c>
    </row>
    <row r="303" ht="15" customHeight="1" thickBot="1">
      <c r="A303" s="290">
        <v>274</v>
      </c>
    </row>
    <row r="304" ht="15" customHeight="1" thickBot="1">
      <c r="A304" s="290">
        <v>273</v>
      </c>
    </row>
    <row r="305" ht="15" customHeight="1" thickBot="1">
      <c r="A305" s="290">
        <v>272</v>
      </c>
    </row>
    <row r="306" ht="15" customHeight="1" thickBot="1">
      <c r="A306" s="290">
        <v>271</v>
      </c>
    </row>
    <row r="307" ht="15" customHeight="1" thickBot="1">
      <c r="A307" s="290">
        <v>270</v>
      </c>
    </row>
    <row r="308" ht="15" customHeight="1" thickBot="1">
      <c r="A308" s="290">
        <v>269</v>
      </c>
    </row>
    <row r="309" ht="15" customHeight="1" thickBot="1">
      <c r="A309" s="290">
        <v>268</v>
      </c>
    </row>
    <row r="310" ht="15" customHeight="1" thickBot="1">
      <c r="A310" s="290">
        <v>267</v>
      </c>
    </row>
    <row r="311" ht="15" customHeight="1" thickBot="1">
      <c r="A311" s="290">
        <v>266</v>
      </c>
    </row>
    <row r="312" ht="15" customHeight="1" thickBot="1">
      <c r="A312" s="290">
        <v>265</v>
      </c>
    </row>
    <row r="313" ht="15" customHeight="1" thickBot="1">
      <c r="A313" s="290">
        <v>264</v>
      </c>
    </row>
    <row r="314" ht="15" customHeight="1" thickBot="1">
      <c r="A314" s="290">
        <v>263</v>
      </c>
    </row>
    <row r="315" ht="15" customHeight="1" thickBot="1">
      <c r="A315" s="290">
        <v>262</v>
      </c>
    </row>
    <row r="316" ht="15" customHeight="1" thickBot="1">
      <c r="A316" s="290">
        <v>261</v>
      </c>
    </row>
    <row r="317" ht="15" customHeight="1" thickBot="1">
      <c r="A317" s="290">
        <v>260</v>
      </c>
    </row>
    <row r="318" ht="15" customHeight="1" thickBot="1">
      <c r="A318" s="290">
        <v>259</v>
      </c>
    </row>
    <row r="319" ht="15" customHeight="1" thickBot="1">
      <c r="A319" s="290">
        <v>258</v>
      </c>
    </row>
    <row r="320" ht="15" customHeight="1" thickBot="1">
      <c r="A320" s="290">
        <v>257</v>
      </c>
    </row>
    <row r="321" ht="15" customHeight="1" thickBot="1">
      <c r="A321" s="290">
        <v>256</v>
      </c>
    </row>
    <row r="322" ht="15" customHeight="1" thickBot="1">
      <c r="A322" s="290">
        <v>255</v>
      </c>
    </row>
    <row r="323" ht="15" customHeight="1" thickBot="1">
      <c r="A323" s="290">
        <v>254</v>
      </c>
    </row>
    <row r="324" ht="15" customHeight="1" thickBot="1">
      <c r="A324" s="290">
        <v>253</v>
      </c>
    </row>
    <row r="325" ht="15" customHeight="1" thickBot="1">
      <c r="A325" s="290">
        <v>252</v>
      </c>
    </row>
    <row r="326" ht="15" customHeight="1" thickBot="1">
      <c r="A326" s="290">
        <v>251</v>
      </c>
    </row>
    <row r="327" ht="15" customHeight="1" thickBot="1">
      <c r="A327" s="290">
        <v>250</v>
      </c>
    </row>
    <row r="328" ht="15" customHeight="1" thickBot="1">
      <c r="A328" s="290">
        <v>249</v>
      </c>
    </row>
    <row r="329" ht="15" customHeight="1" thickBot="1">
      <c r="A329" s="290">
        <v>248</v>
      </c>
    </row>
    <row r="330" ht="15" customHeight="1" thickBot="1">
      <c r="A330" s="290">
        <v>247</v>
      </c>
    </row>
    <row r="331" ht="15" customHeight="1" thickBot="1">
      <c r="A331" s="290">
        <v>246</v>
      </c>
    </row>
    <row r="332" ht="15" customHeight="1" thickBot="1">
      <c r="A332" s="290">
        <v>245</v>
      </c>
    </row>
    <row r="333" ht="15" customHeight="1" thickBot="1">
      <c r="A333" s="290">
        <v>244</v>
      </c>
    </row>
    <row r="334" ht="15" customHeight="1" thickBot="1">
      <c r="A334" s="290">
        <v>243</v>
      </c>
    </row>
    <row r="335" ht="15" customHeight="1" thickBot="1">
      <c r="A335" s="290">
        <v>242</v>
      </c>
    </row>
    <row r="336" ht="15" customHeight="1" thickBot="1">
      <c r="A336" s="290">
        <v>241</v>
      </c>
    </row>
    <row r="337" ht="15" customHeight="1" thickBot="1">
      <c r="A337" s="290">
        <v>240</v>
      </c>
    </row>
    <row r="338" ht="15" customHeight="1" thickBot="1">
      <c r="A338" s="290">
        <v>239</v>
      </c>
    </row>
    <row r="339" ht="15" customHeight="1" thickBot="1">
      <c r="A339" s="290">
        <v>238</v>
      </c>
    </row>
    <row r="340" ht="15" customHeight="1" thickBot="1">
      <c r="A340" s="290">
        <v>237</v>
      </c>
    </row>
    <row r="341" ht="15" customHeight="1" thickBot="1">
      <c r="A341" s="290">
        <v>236</v>
      </c>
    </row>
    <row r="342" ht="15" customHeight="1" thickBot="1">
      <c r="A342" s="290">
        <v>235</v>
      </c>
    </row>
    <row r="343" ht="15" customHeight="1" thickBot="1">
      <c r="A343" s="290">
        <v>234</v>
      </c>
    </row>
    <row r="344" ht="15" customHeight="1" thickBot="1">
      <c r="A344" s="290">
        <v>233</v>
      </c>
    </row>
    <row r="345" ht="15" customHeight="1" thickBot="1">
      <c r="A345" s="290">
        <v>232</v>
      </c>
    </row>
    <row r="346" ht="15" customHeight="1" thickBot="1">
      <c r="A346" s="290">
        <v>231</v>
      </c>
    </row>
    <row r="347" ht="15" customHeight="1" thickBot="1">
      <c r="A347" s="290">
        <v>230</v>
      </c>
    </row>
    <row r="348" ht="15" customHeight="1" thickBot="1">
      <c r="A348" s="290">
        <v>229</v>
      </c>
    </row>
    <row r="349" ht="15" customHeight="1" thickBot="1">
      <c r="A349" s="290">
        <v>228</v>
      </c>
    </row>
    <row r="350" ht="15" customHeight="1" thickBot="1">
      <c r="A350" s="290">
        <v>227</v>
      </c>
    </row>
    <row r="351" ht="15" customHeight="1" thickBot="1">
      <c r="A351" s="290">
        <v>226</v>
      </c>
    </row>
    <row r="352" ht="15" customHeight="1" thickBot="1">
      <c r="A352" s="290">
        <v>225</v>
      </c>
    </row>
    <row r="353" ht="15" customHeight="1" thickBot="1">
      <c r="A353" s="290">
        <v>224</v>
      </c>
    </row>
    <row r="354" ht="15" customHeight="1" thickBot="1">
      <c r="A354" s="290">
        <v>223</v>
      </c>
    </row>
    <row r="355" ht="15" customHeight="1" thickBot="1">
      <c r="A355" s="290">
        <v>222</v>
      </c>
    </row>
    <row r="356" ht="15" customHeight="1" thickBot="1">
      <c r="A356" s="290">
        <v>221</v>
      </c>
    </row>
    <row r="357" ht="15" customHeight="1" thickBot="1">
      <c r="A357" s="290">
        <v>220</v>
      </c>
    </row>
    <row r="358" ht="15" customHeight="1" thickBot="1">
      <c r="A358" s="290">
        <v>219</v>
      </c>
    </row>
    <row r="359" ht="15" customHeight="1" thickBot="1">
      <c r="A359" s="290">
        <v>218</v>
      </c>
    </row>
    <row r="360" ht="15" customHeight="1" thickBot="1">
      <c r="A360" s="290">
        <v>217</v>
      </c>
    </row>
    <row r="361" ht="15" customHeight="1" thickBot="1">
      <c r="A361" s="290">
        <v>216</v>
      </c>
    </row>
    <row r="362" ht="15" customHeight="1" thickBot="1">
      <c r="A362" s="290">
        <v>215</v>
      </c>
    </row>
    <row r="363" ht="15" customHeight="1" thickBot="1">
      <c r="A363" s="290">
        <v>214</v>
      </c>
    </row>
    <row r="364" ht="15" customHeight="1" thickBot="1">
      <c r="A364" s="290">
        <v>213</v>
      </c>
    </row>
    <row r="365" ht="15" customHeight="1" thickBot="1">
      <c r="A365" s="290">
        <v>212</v>
      </c>
    </row>
    <row r="366" ht="15" customHeight="1" thickBot="1">
      <c r="A366" s="290">
        <v>211</v>
      </c>
    </row>
    <row r="367" ht="15" customHeight="1" thickBot="1">
      <c r="A367" s="290">
        <v>210</v>
      </c>
    </row>
    <row r="368" ht="15" customHeight="1" thickBot="1">
      <c r="A368" s="290">
        <v>209</v>
      </c>
    </row>
    <row r="369" ht="15" customHeight="1" thickBot="1">
      <c r="A369" s="290">
        <v>208</v>
      </c>
    </row>
    <row r="370" ht="15" customHeight="1" thickBot="1">
      <c r="A370" s="290">
        <v>207</v>
      </c>
    </row>
    <row r="371" ht="15" customHeight="1" thickBot="1">
      <c r="A371" s="290">
        <v>206</v>
      </c>
    </row>
    <row r="372" ht="15" customHeight="1" thickBot="1">
      <c r="A372" s="290">
        <v>205</v>
      </c>
    </row>
    <row r="373" ht="15" customHeight="1" thickBot="1">
      <c r="A373" s="290">
        <v>204</v>
      </c>
    </row>
    <row r="374" ht="15" customHeight="1" thickBot="1">
      <c r="A374" s="290">
        <v>203</v>
      </c>
    </row>
    <row r="375" ht="15" customHeight="1" thickBot="1">
      <c r="A375" s="290">
        <v>202</v>
      </c>
    </row>
    <row r="376" ht="15" customHeight="1" thickBot="1">
      <c r="A376" s="290">
        <v>201</v>
      </c>
    </row>
    <row r="377" ht="15" customHeight="1" thickBot="1">
      <c r="A377" s="290">
        <v>200</v>
      </c>
    </row>
    <row r="378" ht="15" customHeight="1" thickBot="1">
      <c r="A378" s="290">
        <v>199</v>
      </c>
    </row>
    <row r="379" ht="15" customHeight="1" thickBot="1">
      <c r="A379" s="290">
        <v>198</v>
      </c>
    </row>
    <row r="380" ht="15" customHeight="1" thickBot="1">
      <c r="A380" s="290">
        <v>197</v>
      </c>
    </row>
    <row r="381" ht="15" customHeight="1" thickBot="1">
      <c r="A381" s="290">
        <v>196</v>
      </c>
    </row>
    <row r="382" ht="15" customHeight="1" thickBot="1">
      <c r="A382" s="290">
        <v>195</v>
      </c>
    </row>
    <row r="383" ht="15" customHeight="1" thickBot="1">
      <c r="A383" s="290">
        <v>194</v>
      </c>
    </row>
    <row r="384" ht="15" customHeight="1" thickBot="1">
      <c r="A384" s="290">
        <v>193</v>
      </c>
    </row>
    <row r="385" ht="15" customHeight="1" thickBot="1">
      <c r="A385" s="290">
        <v>192</v>
      </c>
    </row>
    <row r="386" ht="15" customHeight="1" thickBot="1">
      <c r="A386" s="290">
        <v>191</v>
      </c>
    </row>
    <row r="387" ht="15" customHeight="1" thickBot="1">
      <c r="A387" s="290">
        <v>190</v>
      </c>
    </row>
    <row r="388" ht="15" customHeight="1" thickBot="1">
      <c r="A388" s="290">
        <v>189</v>
      </c>
    </row>
    <row r="389" ht="15" customHeight="1" thickBot="1">
      <c r="A389" s="290">
        <v>188</v>
      </c>
    </row>
    <row r="390" ht="15" customHeight="1" thickBot="1">
      <c r="A390" s="290">
        <v>187</v>
      </c>
    </row>
    <row r="391" ht="15" customHeight="1" thickBot="1">
      <c r="A391" s="290">
        <v>186</v>
      </c>
    </row>
    <row r="392" ht="15" customHeight="1" thickBot="1">
      <c r="A392" s="290">
        <v>185</v>
      </c>
    </row>
    <row r="393" ht="15" customHeight="1" thickBot="1">
      <c r="A393" s="290">
        <v>184</v>
      </c>
    </row>
    <row r="394" ht="15" customHeight="1" thickBot="1">
      <c r="A394" s="290">
        <v>183</v>
      </c>
    </row>
    <row r="395" ht="15" customHeight="1" thickBot="1">
      <c r="A395" s="290">
        <v>182</v>
      </c>
    </row>
    <row r="396" ht="15" customHeight="1" thickBot="1">
      <c r="A396" s="290">
        <v>181</v>
      </c>
    </row>
    <row r="397" ht="15" customHeight="1" thickBot="1">
      <c r="A397" s="290">
        <v>180</v>
      </c>
    </row>
    <row r="398" ht="15" customHeight="1" thickBot="1">
      <c r="A398" s="290">
        <v>179</v>
      </c>
    </row>
    <row r="399" ht="15" customHeight="1" thickBot="1">
      <c r="A399" s="290">
        <v>178</v>
      </c>
    </row>
    <row r="400" ht="15" customHeight="1" thickBot="1">
      <c r="A400" s="290">
        <v>177</v>
      </c>
    </row>
    <row r="401" ht="15" customHeight="1" thickBot="1">
      <c r="A401" s="290">
        <v>176</v>
      </c>
    </row>
    <row r="402" ht="15" customHeight="1" thickBot="1">
      <c r="A402" s="290">
        <v>175</v>
      </c>
    </row>
    <row r="403" ht="15" customHeight="1" thickBot="1">
      <c r="A403" s="290">
        <v>174</v>
      </c>
    </row>
    <row r="404" ht="15" customHeight="1" thickBot="1">
      <c r="A404" s="290">
        <v>173</v>
      </c>
    </row>
    <row r="405" ht="15" customHeight="1" thickBot="1">
      <c r="A405" s="290">
        <v>172</v>
      </c>
    </row>
    <row r="406" ht="15" customHeight="1" thickBot="1">
      <c r="A406" s="290">
        <v>171</v>
      </c>
    </row>
    <row r="407" ht="15" customHeight="1" thickBot="1">
      <c r="A407" s="290">
        <v>170</v>
      </c>
    </row>
    <row r="408" ht="15" customHeight="1" thickBot="1">
      <c r="A408" s="290">
        <v>169</v>
      </c>
    </row>
    <row r="409" ht="15" customHeight="1" thickBot="1">
      <c r="A409" s="290">
        <v>168</v>
      </c>
    </row>
    <row r="410" ht="15" customHeight="1" thickBot="1">
      <c r="A410" s="290">
        <v>167</v>
      </c>
    </row>
    <row r="411" ht="15" customHeight="1" thickBot="1">
      <c r="A411" s="290">
        <v>166</v>
      </c>
    </row>
    <row r="412" ht="15" customHeight="1" thickBot="1">
      <c r="A412" s="290">
        <v>165</v>
      </c>
    </row>
    <row r="413" ht="15" customHeight="1" thickBot="1">
      <c r="A413" s="290">
        <v>164</v>
      </c>
    </row>
    <row r="414" ht="15" customHeight="1" thickBot="1">
      <c r="A414" s="290">
        <v>163</v>
      </c>
    </row>
    <row r="415" ht="15" customHeight="1" thickBot="1">
      <c r="A415" s="290">
        <v>162</v>
      </c>
    </row>
    <row r="416" ht="15" customHeight="1" thickBot="1">
      <c r="A416" s="290">
        <v>161</v>
      </c>
    </row>
    <row r="417" ht="15" customHeight="1" thickBot="1">
      <c r="A417" s="290">
        <v>160</v>
      </c>
    </row>
    <row r="418" ht="15" customHeight="1" thickBot="1">
      <c r="A418" s="290">
        <v>159</v>
      </c>
    </row>
    <row r="419" ht="15" customHeight="1" thickBot="1">
      <c r="A419" s="290">
        <v>158</v>
      </c>
    </row>
    <row r="420" ht="15" customHeight="1" thickBot="1">
      <c r="A420" s="290">
        <v>157</v>
      </c>
    </row>
    <row r="421" ht="15" customHeight="1" thickBot="1">
      <c r="A421" s="290">
        <v>156</v>
      </c>
    </row>
    <row r="422" ht="15" customHeight="1" thickBot="1">
      <c r="A422" s="290">
        <v>155</v>
      </c>
    </row>
    <row r="423" ht="15" customHeight="1" thickBot="1">
      <c r="A423" s="290">
        <v>154</v>
      </c>
    </row>
    <row r="424" ht="15" customHeight="1" thickBot="1">
      <c r="A424" s="290">
        <v>153</v>
      </c>
    </row>
    <row r="425" ht="15" customHeight="1" thickBot="1">
      <c r="A425" s="290">
        <v>152</v>
      </c>
    </row>
    <row r="426" ht="15" customHeight="1" thickBot="1">
      <c r="A426" s="290">
        <v>151</v>
      </c>
    </row>
    <row r="427" ht="15" customHeight="1" thickBot="1">
      <c r="A427" s="290">
        <v>150</v>
      </c>
    </row>
    <row r="428" ht="15" customHeight="1" thickBot="1">
      <c r="A428" s="290">
        <v>149</v>
      </c>
    </row>
    <row r="429" ht="15" customHeight="1" thickBot="1">
      <c r="A429" s="290">
        <v>148</v>
      </c>
    </row>
    <row r="430" ht="15" customHeight="1" thickBot="1">
      <c r="A430" s="290">
        <v>147</v>
      </c>
    </row>
    <row r="431" ht="15" customHeight="1" thickBot="1">
      <c r="A431" s="290">
        <v>146</v>
      </c>
    </row>
    <row r="432" ht="15" customHeight="1" thickBot="1">
      <c r="A432" s="290">
        <v>145</v>
      </c>
    </row>
    <row r="433" ht="15" customHeight="1" thickBot="1">
      <c r="A433" s="290">
        <v>144</v>
      </c>
    </row>
    <row r="434" ht="15" customHeight="1" thickBot="1">
      <c r="A434" s="290">
        <v>143</v>
      </c>
    </row>
    <row r="435" ht="15" customHeight="1" thickBot="1">
      <c r="A435" s="290">
        <v>142</v>
      </c>
    </row>
    <row r="436" ht="15" customHeight="1" thickBot="1">
      <c r="A436" s="290">
        <v>141</v>
      </c>
    </row>
    <row r="437" ht="15" customHeight="1" thickBot="1">
      <c r="A437" s="290">
        <v>140</v>
      </c>
    </row>
    <row r="438" ht="15" customHeight="1" thickBot="1">
      <c r="A438" s="290">
        <v>139</v>
      </c>
    </row>
    <row r="439" ht="15" customHeight="1" thickBot="1">
      <c r="A439" s="290">
        <v>138</v>
      </c>
    </row>
    <row r="440" ht="15" customHeight="1" thickBot="1">
      <c r="A440" s="290">
        <v>137</v>
      </c>
    </row>
    <row r="441" ht="15" customHeight="1" thickBot="1">
      <c r="A441" s="290">
        <v>136</v>
      </c>
    </row>
    <row r="442" ht="15" customHeight="1" thickBot="1">
      <c r="A442" s="290">
        <v>135</v>
      </c>
    </row>
    <row r="443" ht="15" customHeight="1" thickBot="1">
      <c r="A443" s="290">
        <v>134</v>
      </c>
    </row>
    <row r="444" ht="15" customHeight="1" thickBot="1">
      <c r="A444" s="290">
        <v>133</v>
      </c>
    </row>
    <row r="445" ht="15" customHeight="1" thickBot="1">
      <c r="A445" s="290">
        <v>132</v>
      </c>
    </row>
    <row r="446" ht="15" customHeight="1" thickBot="1">
      <c r="A446" s="290">
        <v>131</v>
      </c>
    </row>
    <row r="447" ht="15" customHeight="1" thickBot="1">
      <c r="A447" s="290">
        <v>130</v>
      </c>
    </row>
    <row r="448" ht="15" customHeight="1" thickBot="1">
      <c r="A448" s="290">
        <v>129</v>
      </c>
    </row>
    <row r="449" ht="15" customHeight="1" thickBot="1">
      <c r="A449" s="290">
        <v>128</v>
      </c>
    </row>
    <row r="450" ht="15" customHeight="1" thickBot="1">
      <c r="A450" s="290">
        <v>127</v>
      </c>
    </row>
    <row r="451" ht="15" customHeight="1" thickBot="1">
      <c r="A451" s="290">
        <v>126</v>
      </c>
    </row>
    <row r="452" ht="15" customHeight="1" thickBot="1">
      <c r="A452" s="290">
        <v>125</v>
      </c>
    </row>
    <row r="453" ht="15" customHeight="1" thickBot="1">
      <c r="A453" s="290">
        <v>124</v>
      </c>
    </row>
    <row r="454" ht="15" customHeight="1" thickBot="1">
      <c r="A454" s="290">
        <v>123</v>
      </c>
    </row>
    <row r="455" ht="15" customHeight="1" thickBot="1">
      <c r="A455" s="290">
        <v>122</v>
      </c>
    </row>
    <row r="456" ht="15" customHeight="1" thickBot="1">
      <c r="A456" s="290">
        <v>121</v>
      </c>
    </row>
    <row r="457" ht="15" customHeight="1" thickBot="1">
      <c r="A457" s="290">
        <v>120</v>
      </c>
    </row>
    <row r="458" ht="15" customHeight="1" thickBot="1">
      <c r="A458" s="290">
        <v>119</v>
      </c>
    </row>
    <row r="459" ht="15" customHeight="1" thickBot="1">
      <c r="A459" s="290">
        <v>118</v>
      </c>
    </row>
    <row r="460" ht="15" customHeight="1" thickBot="1">
      <c r="A460" s="290">
        <v>117</v>
      </c>
    </row>
    <row r="461" ht="15" customHeight="1" thickBot="1">
      <c r="A461" s="290">
        <v>116</v>
      </c>
    </row>
    <row r="462" ht="15" customHeight="1" thickBot="1">
      <c r="A462" s="290">
        <v>115</v>
      </c>
    </row>
    <row r="463" ht="15" customHeight="1" thickBot="1">
      <c r="A463" s="290">
        <v>114</v>
      </c>
    </row>
    <row r="464" ht="15" customHeight="1" thickBot="1">
      <c r="A464" s="290">
        <v>113</v>
      </c>
    </row>
    <row r="465" ht="15" customHeight="1" thickBot="1">
      <c r="A465" s="290">
        <v>112</v>
      </c>
    </row>
    <row r="466" ht="15" customHeight="1" thickBot="1">
      <c r="A466" s="290">
        <v>111</v>
      </c>
    </row>
    <row r="467" ht="15" customHeight="1" thickBot="1">
      <c r="A467" s="290">
        <v>110</v>
      </c>
    </row>
    <row r="468" ht="15" customHeight="1" thickBot="1">
      <c r="A468" s="290">
        <v>109</v>
      </c>
    </row>
    <row r="469" ht="15" customHeight="1" thickBot="1">
      <c r="A469" s="290">
        <v>108</v>
      </c>
    </row>
    <row r="470" ht="15" customHeight="1" thickBot="1">
      <c r="A470" s="290">
        <v>107</v>
      </c>
    </row>
    <row r="471" ht="15" customHeight="1" thickBot="1">
      <c r="A471" s="290">
        <v>106</v>
      </c>
    </row>
    <row r="472" ht="15" customHeight="1" thickBot="1">
      <c r="A472" s="290">
        <v>105</v>
      </c>
    </row>
    <row r="473" ht="15" customHeight="1" thickBot="1">
      <c r="A473" s="290">
        <v>104</v>
      </c>
    </row>
    <row r="474" ht="15" customHeight="1" thickBot="1">
      <c r="A474" s="290">
        <v>103</v>
      </c>
    </row>
    <row r="475" ht="15" customHeight="1" thickBot="1">
      <c r="A475" s="290">
        <v>102</v>
      </c>
    </row>
    <row r="476" ht="15" customHeight="1" thickBot="1">
      <c r="A476" s="290">
        <v>101</v>
      </c>
    </row>
    <row r="477" ht="15" customHeight="1" thickBot="1">
      <c r="A477" s="290">
        <v>100</v>
      </c>
    </row>
    <row r="478" ht="15" customHeight="1" thickBot="1">
      <c r="A478" s="290">
        <v>99</v>
      </c>
    </row>
    <row r="479" ht="15" customHeight="1" thickBot="1">
      <c r="A479" s="290">
        <v>98</v>
      </c>
    </row>
    <row r="480" ht="15" customHeight="1" thickBot="1">
      <c r="A480" s="290">
        <v>97</v>
      </c>
    </row>
    <row r="481" ht="15" customHeight="1" thickBot="1">
      <c r="A481" s="290">
        <v>96</v>
      </c>
    </row>
    <row r="482" ht="15" customHeight="1" thickBot="1">
      <c r="A482" s="290">
        <v>95</v>
      </c>
    </row>
    <row r="483" ht="15" customHeight="1" thickBot="1">
      <c r="A483" s="290">
        <v>94</v>
      </c>
    </row>
    <row r="484" ht="15" customHeight="1" thickBot="1">
      <c r="A484" s="290">
        <v>93</v>
      </c>
    </row>
    <row r="485" ht="15" customHeight="1" thickBot="1">
      <c r="A485" s="290">
        <v>92</v>
      </c>
    </row>
    <row r="486" ht="15" customHeight="1" thickBot="1">
      <c r="A486" s="290">
        <v>91</v>
      </c>
    </row>
    <row r="487" ht="15" customHeight="1" thickBot="1">
      <c r="A487" s="290">
        <v>90</v>
      </c>
    </row>
    <row r="488" ht="15" customHeight="1" thickBot="1">
      <c r="A488" s="290">
        <v>89</v>
      </c>
    </row>
    <row r="489" ht="15" customHeight="1" thickBot="1">
      <c r="A489" s="290">
        <v>88</v>
      </c>
    </row>
    <row r="490" ht="15" customHeight="1" thickBot="1">
      <c r="A490" s="290">
        <v>87</v>
      </c>
    </row>
    <row r="491" ht="15" customHeight="1" thickBot="1">
      <c r="A491" s="290">
        <v>86</v>
      </c>
    </row>
    <row r="492" ht="15" customHeight="1" thickBot="1">
      <c r="A492" s="290">
        <v>85</v>
      </c>
    </row>
    <row r="493" ht="15" customHeight="1" thickBot="1">
      <c r="A493" s="290">
        <v>84</v>
      </c>
    </row>
    <row r="494" ht="15" customHeight="1" thickBot="1">
      <c r="A494" s="290">
        <v>83</v>
      </c>
    </row>
    <row r="495" ht="15" customHeight="1" thickBot="1">
      <c r="A495" s="290">
        <v>82</v>
      </c>
    </row>
    <row r="496" ht="15" customHeight="1" thickBot="1">
      <c r="A496" s="290">
        <v>81</v>
      </c>
    </row>
    <row r="497" ht="15" customHeight="1" thickBot="1">
      <c r="A497" s="290">
        <v>80</v>
      </c>
    </row>
    <row r="498" ht="15" customHeight="1" thickBot="1">
      <c r="A498" s="290">
        <v>79</v>
      </c>
    </row>
    <row r="499" ht="15" customHeight="1" thickBot="1">
      <c r="A499" s="290">
        <v>78</v>
      </c>
    </row>
    <row r="500" ht="15" customHeight="1" thickBot="1">
      <c r="A500" s="290">
        <v>77</v>
      </c>
    </row>
    <row r="501" ht="15" customHeight="1" thickBot="1">
      <c r="A501" s="290">
        <v>76</v>
      </c>
    </row>
    <row r="502" ht="15" customHeight="1" thickBot="1">
      <c r="A502" s="290">
        <v>75</v>
      </c>
    </row>
    <row r="503" ht="15" customHeight="1" thickBot="1">
      <c r="A503" s="290">
        <v>74</v>
      </c>
    </row>
    <row r="504" ht="15" customHeight="1" thickBot="1">
      <c r="A504" s="290">
        <v>73</v>
      </c>
    </row>
    <row r="505" ht="15" customHeight="1" thickBot="1">
      <c r="A505" s="290">
        <v>72</v>
      </c>
    </row>
    <row r="506" ht="15" customHeight="1" thickBot="1">
      <c r="A506" s="290">
        <v>71</v>
      </c>
    </row>
    <row r="507" ht="15" customHeight="1" thickBot="1">
      <c r="A507" s="290">
        <v>70</v>
      </c>
    </row>
    <row r="508" ht="15" customHeight="1" thickBot="1">
      <c r="A508" s="290">
        <v>69</v>
      </c>
    </row>
    <row r="509" ht="15" customHeight="1" thickBot="1">
      <c r="A509" s="290">
        <v>68</v>
      </c>
    </row>
    <row r="510" ht="15" customHeight="1" thickBot="1">
      <c r="A510" s="290">
        <v>67</v>
      </c>
    </row>
    <row r="511" ht="15" customHeight="1" thickBot="1">
      <c r="A511" s="290">
        <v>66</v>
      </c>
    </row>
    <row r="512" ht="15" customHeight="1" thickBot="1">
      <c r="A512" s="290">
        <v>65</v>
      </c>
    </row>
    <row r="513" ht="15" customHeight="1" thickBot="1">
      <c r="A513" s="290">
        <v>64</v>
      </c>
    </row>
    <row r="514" ht="15" customHeight="1" thickBot="1">
      <c r="A514" s="290">
        <v>63</v>
      </c>
    </row>
    <row r="515" ht="15" customHeight="1" thickBot="1">
      <c r="A515" s="290">
        <v>62</v>
      </c>
    </row>
    <row r="516" ht="15" customHeight="1" thickBot="1">
      <c r="A516" s="290">
        <v>61</v>
      </c>
    </row>
    <row r="517" ht="15" customHeight="1" thickBot="1">
      <c r="A517" s="290">
        <v>60</v>
      </c>
    </row>
    <row r="518" ht="15" customHeight="1" thickBot="1">
      <c r="A518" s="290">
        <v>59</v>
      </c>
    </row>
    <row r="519" ht="15" customHeight="1" thickBot="1">
      <c r="A519" s="290">
        <v>58</v>
      </c>
    </row>
    <row r="520" ht="15" customHeight="1" thickBot="1">
      <c r="A520" s="290">
        <v>57</v>
      </c>
    </row>
    <row r="521" ht="15" customHeight="1" thickBot="1">
      <c r="A521" s="290">
        <v>56</v>
      </c>
    </row>
    <row r="522" ht="15" customHeight="1" thickBot="1">
      <c r="A522" s="290">
        <v>55</v>
      </c>
    </row>
    <row r="523" ht="15" customHeight="1" thickBot="1">
      <c r="A523" s="290">
        <v>54</v>
      </c>
    </row>
    <row r="524" ht="15" customHeight="1" thickBot="1">
      <c r="A524" s="290">
        <v>53</v>
      </c>
    </row>
    <row r="525" ht="15" customHeight="1" thickBot="1">
      <c r="A525" s="290">
        <v>52</v>
      </c>
    </row>
    <row r="526" ht="15" customHeight="1" thickBot="1">
      <c r="A526" s="290">
        <v>51</v>
      </c>
    </row>
    <row r="527" ht="15" customHeight="1" thickBot="1">
      <c r="A527" s="290">
        <v>50</v>
      </c>
    </row>
    <row r="528" ht="15" customHeight="1" thickBot="1">
      <c r="A528" s="290">
        <v>49</v>
      </c>
    </row>
    <row r="529" ht="15" customHeight="1" thickBot="1">
      <c r="A529" s="290">
        <v>48</v>
      </c>
    </row>
    <row r="530" ht="15" customHeight="1" thickBot="1">
      <c r="A530" s="290">
        <v>47</v>
      </c>
    </row>
    <row r="531" ht="15" customHeight="1" thickBot="1">
      <c r="A531" s="290">
        <v>46</v>
      </c>
    </row>
    <row r="532" ht="15" customHeight="1" thickBot="1">
      <c r="A532" s="290">
        <v>45</v>
      </c>
    </row>
    <row r="533" ht="15" customHeight="1" thickBot="1">
      <c r="A533" s="290">
        <v>44</v>
      </c>
    </row>
    <row r="534" ht="15" customHeight="1" thickBot="1">
      <c r="A534" s="290">
        <v>43</v>
      </c>
    </row>
    <row r="535" ht="15" customHeight="1" thickBot="1">
      <c r="A535" s="290">
        <v>42</v>
      </c>
    </row>
    <row r="536" ht="15" customHeight="1" thickBot="1">
      <c r="A536" s="290">
        <v>41</v>
      </c>
    </row>
    <row r="537" ht="15" customHeight="1" thickBot="1">
      <c r="A537" s="290">
        <v>40</v>
      </c>
    </row>
    <row r="538" ht="15" customHeight="1" thickBot="1">
      <c r="A538" s="290">
        <v>39</v>
      </c>
    </row>
    <row r="539" ht="15" customHeight="1" thickBot="1">
      <c r="A539" s="290">
        <v>38</v>
      </c>
    </row>
    <row r="540" ht="15" customHeight="1" thickBot="1">
      <c r="A540" s="290">
        <v>37</v>
      </c>
    </row>
    <row r="541" ht="15" customHeight="1" thickBot="1">
      <c r="A541" s="290">
        <v>36</v>
      </c>
    </row>
    <row r="542" ht="15" customHeight="1" thickBot="1">
      <c r="A542" s="290">
        <v>35</v>
      </c>
    </row>
    <row r="543" ht="15" customHeight="1" thickBot="1">
      <c r="A543" s="290">
        <v>34</v>
      </c>
    </row>
    <row r="544" ht="15" customHeight="1" thickBot="1">
      <c r="A544" s="290">
        <v>33</v>
      </c>
    </row>
    <row r="545" ht="15" customHeight="1" thickBot="1">
      <c r="A545" s="290">
        <v>32</v>
      </c>
    </row>
    <row r="546" ht="15" customHeight="1" thickBot="1">
      <c r="A546" s="290">
        <v>31</v>
      </c>
    </row>
    <row r="547" ht="15" customHeight="1" thickBot="1">
      <c r="A547" s="290">
        <v>30</v>
      </c>
    </row>
    <row r="548" ht="15" customHeight="1" thickBot="1">
      <c r="A548" s="290">
        <v>29</v>
      </c>
    </row>
    <row r="549" ht="15" customHeight="1" thickBot="1">
      <c r="A549" s="290">
        <v>28</v>
      </c>
    </row>
    <row r="550" ht="15" customHeight="1" thickBot="1">
      <c r="A550" s="290">
        <v>27</v>
      </c>
    </row>
    <row r="551" ht="15" customHeight="1" thickBot="1">
      <c r="A551" s="290">
        <v>26</v>
      </c>
    </row>
    <row r="552" ht="15" customHeight="1" thickBot="1">
      <c r="A552" s="290">
        <v>25</v>
      </c>
    </row>
    <row r="553" ht="15" customHeight="1" thickBot="1">
      <c r="A553" s="290">
        <v>24</v>
      </c>
    </row>
    <row r="554" ht="15" customHeight="1" thickBot="1">
      <c r="A554" s="290">
        <v>23</v>
      </c>
    </row>
    <row r="555" ht="15" customHeight="1" thickBot="1">
      <c r="A555" s="290">
        <v>22</v>
      </c>
    </row>
    <row r="556" ht="15" customHeight="1" thickBot="1">
      <c r="A556" s="290">
        <v>21</v>
      </c>
    </row>
    <row r="557" ht="15" customHeight="1" thickBot="1">
      <c r="A557" s="290">
        <v>20</v>
      </c>
    </row>
    <row r="558" ht="15" customHeight="1" thickBot="1">
      <c r="A558" s="290">
        <v>19</v>
      </c>
    </row>
    <row r="559" ht="15" customHeight="1" thickBot="1">
      <c r="A559" s="290">
        <v>18</v>
      </c>
    </row>
    <row r="560" ht="15" customHeight="1" thickBot="1">
      <c r="A560" s="290">
        <v>17</v>
      </c>
    </row>
    <row r="561" ht="15" customHeight="1" thickBot="1">
      <c r="A561" s="290">
        <v>16</v>
      </c>
    </row>
    <row r="562" ht="15" customHeight="1" thickBot="1">
      <c r="A562" s="290">
        <v>15</v>
      </c>
    </row>
    <row r="563" ht="15" customHeight="1" thickBot="1">
      <c r="A563" s="290">
        <v>14</v>
      </c>
    </row>
    <row r="564" ht="15" customHeight="1" thickBot="1">
      <c r="A564" s="290">
        <v>13</v>
      </c>
    </row>
    <row r="565" ht="15" customHeight="1" thickBot="1">
      <c r="A565" s="290">
        <v>12</v>
      </c>
    </row>
    <row r="566" ht="15" customHeight="1" thickBot="1">
      <c r="A566" s="290">
        <v>11</v>
      </c>
    </row>
    <row r="567" ht="15" customHeight="1" thickBot="1">
      <c r="A567" s="290">
        <v>10</v>
      </c>
    </row>
    <row r="568" ht="15" customHeight="1" thickBot="1">
      <c r="A568" s="290">
        <v>9</v>
      </c>
    </row>
    <row r="569" ht="15" customHeight="1" thickBot="1">
      <c r="A569" s="290">
        <v>8</v>
      </c>
    </row>
    <row r="570" ht="15" customHeight="1" thickBot="1">
      <c r="A570" s="290">
        <v>7</v>
      </c>
    </row>
    <row r="571" ht="15" customHeight="1" thickBot="1">
      <c r="A571" s="290">
        <v>6</v>
      </c>
    </row>
    <row r="572" ht="15" customHeight="1" thickBot="1">
      <c r="A572" s="290">
        <v>5</v>
      </c>
    </row>
    <row r="573" ht="15" customHeight="1" thickBot="1">
      <c r="A573" s="290">
        <v>4</v>
      </c>
    </row>
    <row r="574" ht="15" customHeight="1" thickBot="1">
      <c r="A574" s="290">
        <v>3</v>
      </c>
    </row>
    <row r="575" ht="15" customHeight="1" thickBot="1">
      <c r="A575" s="290">
        <v>2</v>
      </c>
    </row>
    <row r="576" ht="15" customHeight="1" thickBot="1">
      <c r="A576" s="290">
        <v>1</v>
      </c>
    </row>
  </sheetData>
  <sheetProtection/>
  <printOptions/>
  <pageMargins left="0.75" right="0.75" top="1" bottom="1" header="0.5" footer="0.5"/>
  <pageSetup orientation="portrait" paperSize="9"/>
  <drawing r:id="rId3"/>
  <legacyDrawing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H92"/>
  <sheetViews>
    <sheetView showGridLines="0" zoomScale="85" zoomScaleNormal="85"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8.8515625" style="20" customWidth="1"/>
    <col min="2" max="2" width="5.8515625" style="20" customWidth="1"/>
    <col min="3" max="3" width="28.8515625" style="20" customWidth="1"/>
    <col min="4" max="4" width="32.7109375" style="20" customWidth="1"/>
    <col min="5" max="5" width="44.7109375" style="20" customWidth="1"/>
    <col min="6" max="6" width="5.421875" style="20" customWidth="1"/>
    <col min="7" max="7" width="8.8515625" style="20" customWidth="1"/>
    <col min="8" max="8" width="9.28125" style="20" customWidth="1"/>
    <col min="9" max="16384" width="8.8515625" style="20" customWidth="1"/>
  </cols>
  <sheetData>
    <row r="1" s="568" customFormat="1" ht="48" customHeight="1" thickBot="1">
      <c r="A1" s="568" t="s">
        <v>1047</v>
      </c>
    </row>
    <row r="2" ht="14.25" thickBot="1" thickTop="1"/>
    <row r="3" spans="2:6" ht="13.5" thickBot="1">
      <c r="B3" s="9"/>
      <c r="C3" s="10"/>
      <c r="D3" s="10"/>
      <c r="E3" s="10"/>
      <c r="F3" s="11"/>
    </row>
    <row r="4" spans="2:6" ht="12.75">
      <c r="B4" s="12"/>
      <c r="C4" s="322" t="s">
        <v>164</v>
      </c>
      <c r="D4" s="323"/>
      <c r="E4" s="324"/>
      <c r="F4" s="13"/>
    </row>
    <row r="5" spans="2:6" ht="25.5" customHeight="1">
      <c r="B5" s="12"/>
      <c r="C5" s="325" t="s">
        <v>165</v>
      </c>
      <c r="D5" s="326" t="s">
        <v>166</v>
      </c>
      <c r="E5" s="327" t="s">
        <v>167</v>
      </c>
      <c r="F5" s="13"/>
    </row>
    <row r="6" spans="2:6" ht="14.25" customHeight="1">
      <c r="B6" s="12"/>
      <c r="C6" s="316" t="s">
        <v>12</v>
      </c>
      <c r="D6" s="317">
        <v>1</v>
      </c>
      <c r="E6" s="318" t="s">
        <v>168</v>
      </c>
      <c r="F6" s="13"/>
    </row>
    <row r="7" spans="2:8" ht="14.25" customHeight="1">
      <c r="B7" s="12"/>
      <c r="C7" s="316" t="s">
        <v>232</v>
      </c>
      <c r="D7" s="317">
        <v>21</v>
      </c>
      <c r="E7" s="318" t="s">
        <v>168</v>
      </c>
      <c r="F7" s="13"/>
      <c r="H7" s="308"/>
    </row>
    <row r="8" spans="2:8" ht="14.25" customHeight="1">
      <c r="B8" s="12"/>
      <c r="C8" s="316" t="s">
        <v>233</v>
      </c>
      <c r="D8" s="317">
        <v>310</v>
      </c>
      <c r="E8" s="318" t="s">
        <v>168</v>
      </c>
      <c r="F8" s="13"/>
      <c r="H8" s="308"/>
    </row>
    <row r="9" spans="2:8" ht="12.75">
      <c r="B9" s="12"/>
      <c r="C9" s="14" t="s">
        <v>169</v>
      </c>
      <c r="D9" s="319">
        <v>11700</v>
      </c>
      <c r="E9" s="318" t="s">
        <v>168</v>
      </c>
      <c r="F9" s="13"/>
      <c r="H9" s="308"/>
    </row>
    <row r="10" spans="2:8" ht="12.75">
      <c r="B10" s="12"/>
      <c r="C10" s="14" t="s">
        <v>170</v>
      </c>
      <c r="D10" s="319">
        <v>650</v>
      </c>
      <c r="E10" s="318" t="s">
        <v>168</v>
      </c>
      <c r="F10" s="13"/>
      <c r="H10" s="308"/>
    </row>
    <row r="11" spans="2:8" ht="12.75">
      <c r="B11" s="12"/>
      <c r="C11" s="14" t="s">
        <v>171</v>
      </c>
      <c r="D11" s="319">
        <v>2800</v>
      </c>
      <c r="E11" s="318" t="s">
        <v>168</v>
      </c>
      <c r="F11" s="13"/>
      <c r="H11" s="308"/>
    </row>
    <row r="12" spans="2:8" ht="12.75">
      <c r="B12" s="12"/>
      <c r="C12" s="14" t="s">
        <v>172</v>
      </c>
      <c r="D12" s="319">
        <v>1300</v>
      </c>
      <c r="E12" s="318" t="s">
        <v>168</v>
      </c>
      <c r="F12" s="13"/>
      <c r="H12" s="308"/>
    </row>
    <row r="13" spans="2:8" ht="12.75">
      <c r="B13" s="12"/>
      <c r="C13" s="14" t="s">
        <v>173</v>
      </c>
      <c r="D13" s="319">
        <v>3800</v>
      </c>
      <c r="E13" s="318" t="s">
        <v>168</v>
      </c>
      <c r="F13" s="13"/>
      <c r="H13" s="309"/>
    </row>
    <row r="14" spans="2:8" ht="12.75">
      <c r="B14" s="12"/>
      <c r="C14" s="14" t="s">
        <v>174</v>
      </c>
      <c r="D14" s="319">
        <v>140</v>
      </c>
      <c r="E14" s="318" t="s">
        <v>168</v>
      </c>
      <c r="F14" s="13"/>
      <c r="H14" s="309"/>
    </row>
    <row r="15" spans="2:8" ht="12.75">
      <c r="B15" s="12"/>
      <c r="C15" s="14" t="s">
        <v>175</v>
      </c>
      <c r="D15" s="319">
        <v>6300</v>
      </c>
      <c r="E15" s="318" t="s">
        <v>168</v>
      </c>
      <c r="F15" s="13"/>
      <c r="H15" s="309"/>
    </row>
    <row r="16" spans="2:8" ht="12.75">
      <c r="B16" s="12"/>
      <c r="C16" s="14" t="s">
        <v>176</v>
      </c>
      <c r="D16" s="319">
        <f>0.13*D14</f>
        <v>18.2</v>
      </c>
      <c r="E16" s="318" t="s">
        <v>177</v>
      </c>
      <c r="F16" s="13"/>
      <c r="H16" s="309"/>
    </row>
    <row r="17" spans="2:8" ht="12.75">
      <c r="B17" s="12"/>
      <c r="C17" s="14" t="s">
        <v>178</v>
      </c>
      <c r="D17" s="319">
        <f>0.11*D14</f>
        <v>15.4</v>
      </c>
      <c r="E17" s="318" t="s">
        <v>177</v>
      </c>
      <c r="F17" s="13"/>
      <c r="H17" s="309"/>
    </row>
    <row r="18" spans="2:8" ht="12.75">
      <c r="B18" s="12"/>
      <c r="C18" s="14" t="s">
        <v>179</v>
      </c>
      <c r="D18" s="319">
        <v>21</v>
      </c>
      <c r="E18" s="318" t="s">
        <v>177</v>
      </c>
      <c r="F18" s="13"/>
      <c r="H18" s="309"/>
    </row>
    <row r="19" spans="2:8" ht="12.75">
      <c r="B19" s="12"/>
      <c r="C19" s="14" t="s">
        <v>180</v>
      </c>
      <c r="D19" s="319">
        <f>0.6*D11</f>
        <v>1680</v>
      </c>
      <c r="E19" s="318" t="s">
        <v>177</v>
      </c>
      <c r="F19" s="13"/>
      <c r="H19" s="309"/>
    </row>
    <row r="20" spans="2:8" ht="12.75">
      <c r="B20" s="12"/>
      <c r="C20" s="14" t="s">
        <v>181</v>
      </c>
      <c r="D20" s="319">
        <f>0.38*D11</f>
        <v>1064</v>
      </c>
      <c r="E20" s="318" t="s">
        <v>177</v>
      </c>
      <c r="F20" s="13"/>
      <c r="H20" s="309"/>
    </row>
    <row r="21" spans="2:8" ht="12.75">
      <c r="B21" s="12"/>
      <c r="C21" s="14" t="s">
        <v>182</v>
      </c>
      <c r="D21" s="319">
        <v>1400</v>
      </c>
      <c r="E21" s="318" t="s">
        <v>177</v>
      </c>
      <c r="F21" s="13"/>
      <c r="H21" s="309"/>
    </row>
    <row r="22" spans="2:8" ht="12.75">
      <c r="B22" s="12"/>
      <c r="C22" s="14" t="s">
        <v>183</v>
      </c>
      <c r="D22" s="319">
        <v>2730</v>
      </c>
      <c r="E22" s="318" t="s">
        <v>177</v>
      </c>
      <c r="F22" s="13"/>
      <c r="H22" s="309"/>
    </row>
    <row r="23" spans="2:8" ht="12.75">
      <c r="B23" s="12"/>
      <c r="C23" s="14" t="s">
        <v>184</v>
      </c>
      <c r="D23" s="320">
        <f>0.44*D11+0.52*D13+0.04*D12</f>
        <v>3260</v>
      </c>
      <c r="E23" s="318" t="s">
        <v>177</v>
      </c>
      <c r="F23" s="13"/>
      <c r="H23" s="309"/>
    </row>
    <row r="24" spans="2:8" ht="12.75">
      <c r="B24" s="12"/>
      <c r="C24" s="14" t="s">
        <v>185</v>
      </c>
      <c r="D24" s="320">
        <v>0</v>
      </c>
      <c r="E24" s="318" t="s">
        <v>177</v>
      </c>
      <c r="F24" s="13"/>
      <c r="H24" s="309"/>
    </row>
    <row r="25" spans="2:8" ht="12.75">
      <c r="B25" s="12"/>
      <c r="C25" s="14" t="s">
        <v>186</v>
      </c>
      <c r="D25" s="320">
        <f>0.2*D10+0.4*D11+0.4*D12</f>
        <v>1770</v>
      </c>
      <c r="E25" s="318" t="s">
        <v>177</v>
      </c>
      <c r="F25" s="13"/>
      <c r="H25" s="309"/>
    </row>
    <row r="26" spans="2:8" ht="12.75">
      <c r="B26" s="12"/>
      <c r="C26" s="14" t="s">
        <v>187</v>
      </c>
      <c r="D26" s="320">
        <f>0.1*D10+0.7*D11+0.2*D12</f>
        <v>2285</v>
      </c>
      <c r="E26" s="318" t="s">
        <v>177</v>
      </c>
      <c r="F26" s="13"/>
      <c r="H26" s="310"/>
    </row>
    <row r="27" spans="2:8" ht="12.75">
      <c r="B27" s="12"/>
      <c r="C27" s="14" t="s">
        <v>188</v>
      </c>
      <c r="D27" s="320">
        <f>0.23*D10+0.25*D11+0.52*D12</f>
        <v>1525.5</v>
      </c>
      <c r="E27" s="318" t="s">
        <v>177</v>
      </c>
      <c r="F27" s="13"/>
      <c r="H27" s="310"/>
    </row>
    <row r="28" spans="2:8" ht="12.75">
      <c r="B28" s="12"/>
      <c r="C28" s="14" t="s">
        <v>189</v>
      </c>
      <c r="D28" s="320">
        <v>1428</v>
      </c>
      <c r="E28" s="318" t="s">
        <v>177</v>
      </c>
      <c r="F28" s="13"/>
      <c r="H28" s="310"/>
    </row>
    <row r="29" spans="2:8" ht="12.75">
      <c r="B29" s="12"/>
      <c r="C29" s="14" t="s">
        <v>190</v>
      </c>
      <c r="D29" s="320">
        <v>1363</v>
      </c>
      <c r="E29" s="318" t="s">
        <v>177</v>
      </c>
      <c r="F29" s="13"/>
      <c r="H29" s="310"/>
    </row>
    <row r="30" spans="2:8" ht="12.75">
      <c r="B30" s="12"/>
      <c r="C30" s="14" t="s">
        <v>191</v>
      </c>
      <c r="D30" s="320">
        <v>1944</v>
      </c>
      <c r="E30" s="318" t="s">
        <v>177</v>
      </c>
      <c r="F30" s="13"/>
      <c r="H30" s="310"/>
    </row>
    <row r="31" spans="2:8" ht="12.75">
      <c r="B31" s="12"/>
      <c r="C31" s="14" t="s">
        <v>192</v>
      </c>
      <c r="D31" s="320">
        <v>0</v>
      </c>
      <c r="E31" s="318" t="s">
        <v>177</v>
      </c>
      <c r="F31" s="13"/>
      <c r="H31" s="310"/>
    </row>
    <row r="32" spans="2:8" ht="12.75">
      <c r="B32" s="12"/>
      <c r="C32" s="14" t="s">
        <v>193</v>
      </c>
      <c r="D32" s="320">
        <v>0</v>
      </c>
      <c r="E32" s="318" t="s">
        <v>177</v>
      </c>
      <c r="F32" s="13"/>
      <c r="H32" s="310"/>
    </row>
    <row r="33" spans="2:8" ht="12.75">
      <c r="B33" s="12"/>
      <c r="C33" s="14" t="s">
        <v>194</v>
      </c>
      <c r="D33" s="319">
        <f>0.5*D10+0.5*D11</f>
        <v>1725</v>
      </c>
      <c r="E33" s="318" t="s">
        <v>177</v>
      </c>
      <c r="F33" s="13"/>
      <c r="H33" s="309"/>
    </row>
    <row r="34" spans="2:8" ht="12.75">
      <c r="B34" s="12"/>
      <c r="C34" s="14" t="s">
        <v>195</v>
      </c>
      <c r="D34" s="319">
        <f>0.45*D10+0.55*D11</f>
        <v>1832.5000000000002</v>
      </c>
      <c r="E34" s="318" t="s">
        <v>177</v>
      </c>
      <c r="F34" s="13"/>
      <c r="H34" s="309"/>
    </row>
    <row r="35" spans="2:8" ht="12.75">
      <c r="B35" s="12"/>
      <c r="C35" s="14" t="s">
        <v>196</v>
      </c>
      <c r="D35" s="319">
        <v>15.4</v>
      </c>
      <c r="E35" s="318" t="s">
        <v>177</v>
      </c>
      <c r="F35" s="13"/>
      <c r="H35" s="309"/>
    </row>
    <row r="36" spans="2:8" ht="12.75">
      <c r="B36" s="12"/>
      <c r="C36" s="14" t="s">
        <v>197</v>
      </c>
      <c r="D36" s="319">
        <v>4.2</v>
      </c>
      <c r="E36" s="318" t="s">
        <v>177</v>
      </c>
      <c r="F36" s="13"/>
      <c r="H36" s="309"/>
    </row>
    <row r="37" spans="2:8" ht="12.75">
      <c r="B37" s="12"/>
      <c r="C37" s="14" t="s">
        <v>198</v>
      </c>
      <c r="D37" s="319">
        <v>350</v>
      </c>
      <c r="E37" s="318" t="s">
        <v>177</v>
      </c>
      <c r="F37" s="13"/>
      <c r="H37" s="309"/>
    </row>
    <row r="38" spans="2:8" ht="12.75">
      <c r="B38" s="12"/>
      <c r="C38" s="14" t="s">
        <v>199</v>
      </c>
      <c r="D38" s="319">
        <v>1774</v>
      </c>
      <c r="E38" s="318" t="s">
        <v>177</v>
      </c>
      <c r="F38" s="13"/>
      <c r="H38" s="309"/>
    </row>
    <row r="39" spans="2:8" ht="12.75">
      <c r="B39" s="12"/>
      <c r="C39" s="14" t="s">
        <v>200</v>
      </c>
      <c r="D39" s="319">
        <v>0</v>
      </c>
      <c r="E39" s="318" t="s">
        <v>177</v>
      </c>
      <c r="F39" s="13"/>
      <c r="H39" s="309"/>
    </row>
    <row r="40" spans="2:8" ht="12.75">
      <c r="B40" s="12"/>
      <c r="C40" s="14" t="s">
        <v>201</v>
      </c>
      <c r="D40" s="319">
        <v>0</v>
      </c>
      <c r="E40" s="318" t="s">
        <v>177</v>
      </c>
      <c r="F40" s="13"/>
      <c r="H40" s="309"/>
    </row>
    <row r="41" spans="2:8" ht="12.75">
      <c r="B41" s="12"/>
      <c r="C41" s="14" t="s">
        <v>202</v>
      </c>
      <c r="D41" s="319">
        <v>25</v>
      </c>
      <c r="E41" s="318" t="s">
        <v>177</v>
      </c>
      <c r="F41" s="13"/>
      <c r="H41" s="309"/>
    </row>
    <row r="42" spans="2:8" ht="12.75">
      <c r="B42" s="12"/>
      <c r="C42" s="14" t="s">
        <v>203</v>
      </c>
      <c r="D42" s="319">
        <v>105</v>
      </c>
      <c r="E42" s="318" t="s">
        <v>177</v>
      </c>
      <c r="F42" s="13"/>
      <c r="H42" s="309"/>
    </row>
    <row r="43" spans="2:8" ht="12.75">
      <c r="B43" s="12"/>
      <c r="C43" s="14" t="s">
        <v>204</v>
      </c>
      <c r="D43" s="319">
        <v>767</v>
      </c>
      <c r="E43" s="318" t="s">
        <v>177</v>
      </c>
      <c r="F43" s="13"/>
      <c r="H43" s="309"/>
    </row>
    <row r="44" spans="2:8" ht="12.75">
      <c r="B44" s="12"/>
      <c r="C44" s="14" t="s">
        <v>205</v>
      </c>
      <c r="D44" s="319">
        <v>1954.8</v>
      </c>
      <c r="E44" s="318" t="s">
        <v>177</v>
      </c>
      <c r="F44" s="13"/>
      <c r="H44" s="309"/>
    </row>
    <row r="45" spans="2:8" ht="12.75">
      <c r="B45" s="12"/>
      <c r="C45" s="14" t="s">
        <v>206</v>
      </c>
      <c r="D45" s="319">
        <v>3.5</v>
      </c>
      <c r="E45" s="318" t="s">
        <v>177</v>
      </c>
      <c r="F45" s="13"/>
      <c r="H45" s="309"/>
    </row>
    <row r="46" spans="2:8" ht="12.75">
      <c r="B46" s="12"/>
      <c r="C46" s="14" t="s">
        <v>207</v>
      </c>
      <c r="D46" s="319">
        <v>2403</v>
      </c>
      <c r="E46" s="318" t="s">
        <v>177</v>
      </c>
      <c r="F46" s="13"/>
      <c r="H46" s="309"/>
    </row>
    <row r="47" spans="2:8" ht="12.75">
      <c r="B47" s="12"/>
      <c r="C47" s="14" t="s">
        <v>208</v>
      </c>
      <c r="D47" s="319">
        <v>1144</v>
      </c>
      <c r="E47" s="318" t="s">
        <v>177</v>
      </c>
      <c r="F47" s="13"/>
      <c r="H47" s="309"/>
    </row>
    <row r="48" spans="2:8" ht="12.75">
      <c r="B48" s="12"/>
      <c r="C48" s="14" t="s">
        <v>209</v>
      </c>
      <c r="D48" s="319">
        <v>36.68</v>
      </c>
      <c r="E48" s="318" t="s">
        <v>177</v>
      </c>
      <c r="F48" s="13"/>
      <c r="H48" s="309"/>
    </row>
    <row r="49" spans="2:8" ht="12.75">
      <c r="B49" s="12"/>
      <c r="C49" s="14" t="s">
        <v>210</v>
      </c>
      <c r="D49" s="319">
        <v>0</v>
      </c>
      <c r="E49" s="318" t="s">
        <v>177</v>
      </c>
      <c r="F49" s="13"/>
      <c r="H49" s="309"/>
    </row>
    <row r="50" spans="2:8" ht="12.75">
      <c r="B50" s="12"/>
      <c r="C50" s="14" t="s">
        <v>211</v>
      </c>
      <c r="D50" s="319">
        <v>0</v>
      </c>
      <c r="E50" s="318" t="s">
        <v>177</v>
      </c>
      <c r="F50" s="13"/>
      <c r="H50" s="309"/>
    </row>
    <row r="51" spans="2:8" ht="12.75">
      <c r="B51" s="12"/>
      <c r="C51" s="14" t="s">
        <v>212</v>
      </c>
      <c r="D51" s="319">
        <v>4691.7</v>
      </c>
      <c r="E51" s="318" t="s">
        <v>177</v>
      </c>
      <c r="F51" s="13"/>
      <c r="H51" s="309"/>
    </row>
    <row r="52" spans="2:8" ht="12.75">
      <c r="B52" s="12"/>
      <c r="C52" s="14" t="s">
        <v>213</v>
      </c>
      <c r="D52" s="319">
        <v>313.3</v>
      </c>
      <c r="E52" s="318" t="s">
        <v>177</v>
      </c>
      <c r="F52" s="13"/>
      <c r="H52" s="309"/>
    </row>
    <row r="53" spans="2:8" ht="12.75">
      <c r="B53" s="12"/>
      <c r="C53" s="14" t="s">
        <v>214</v>
      </c>
      <c r="D53" s="319">
        <v>0</v>
      </c>
      <c r="E53" s="318" t="s">
        <v>177</v>
      </c>
      <c r="F53" s="13"/>
      <c r="H53" s="309"/>
    </row>
    <row r="54" spans="2:8" ht="12.75">
      <c r="B54" s="12"/>
      <c r="C54" s="14" t="s">
        <v>215</v>
      </c>
      <c r="D54" s="319">
        <v>0</v>
      </c>
      <c r="E54" s="318" t="s">
        <v>177</v>
      </c>
      <c r="F54" s="13"/>
      <c r="H54" s="309"/>
    </row>
    <row r="55" spans="2:8" ht="12.75">
      <c r="B55" s="12"/>
      <c r="C55" s="14" t="s">
        <v>216</v>
      </c>
      <c r="D55" s="319">
        <f>0.5*D11+0.5*D13</f>
        <v>3300</v>
      </c>
      <c r="E55" s="318" t="s">
        <v>177</v>
      </c>
      <c r="F55" s="13"/>
      <c r="H55" s="309"/>
    </row>
    <row r="56" spans="2:8" ht="12.75">
      <c r="B56" s="12"/>
      <c r="C56" s="14" t="s">
        <v>217</v>
      </c>
      <c r="D56" s="319">
        <f>0.39*D9+0.61*D60</f>
        <v>10175</v>
      </c>
      <c r="E56" s="318" t="s">
        <v>177</v>
      </c>
      <c r="F56" s="13"/>
      <c r="H56" s="309"/>
    </row>
    <row r="57" spans="2:8" ht="12.75">
      <c r="B57" s="12"/>
      <c r="C57" s="14" t="s">
        <v>218</v>
      </c>
      <c r="D57" s="319">
        <f>0.46*D9+0.54*D60</f>
        <v>10350</v>
      </c>
      <c r="E57" s="318" t="s">
        <v>177</v>
      </c>
      <c r="F57" s="13"/>
      <c r="H57" s="309"/>
    </row>
    <row r="58" spans="2:8" ht="12.75">
      <c r="B58" s="12"/>
      <c r="C58" s="14" t="s">
        <v>219</v>
      </c>
      <c r="D58" s="319">
        <v>3920</v>
      </c>
      <c r="E58" s="318" t="s">
        <v>177</v>
      </c>
      <c r="F58" s="13"/>
      <c r="H58" s="309"/>
    </row>
    <row r="59" spans="2:8" ht="27">
      <c r="B59" s="12"/>
      <c r="C59" s="14" t="s">
        <v>234</v>
      </c>
      <c r="D59" s="319">
        <v>7000</v>
      </c>
      <c r="E59" s="321" t="s">
        <v>220</v>
      </c>
      <c r="F59" s="13"/>
      <c r="H59" s="309"/>
    </row>
    <row r="60" spans="2:8" ht="14.25" customHeight="1">
      <c r="B60" s="12"/>
      <c r="C60" s="14" t="s">
        <v>235</v>
      </c>
      <c r="D60" s="319">
        <v>9200</v>
      </c>
      <c r="E60" s="318" t="s">
        <v>168</v>
      </c>
      <c r="F60" s="13"/>
      <c r="H60" s="309"/>
    </row>
    <row r="61" spans="2:8" ht="14.25" customHeight="1">
      <c r="B61" s="12"/>
      <c r="C61" s="14" t="s">
        <v>236</v>
      </c>
      <c r="D61" s="319">
        <v>6500</v>
      </c>
      <c r="E61" s="318" t="s">
        <v>168</v>
      </c>
      <c r="F61" s="13"/>
      <c r="H61" s="309"/>
    </row>
    <row r="62" spans="2:8" ht="14.25" customHeight="1" thickBot="1">
      <c r="B62" s="12"/>
      <c r="C62" s="635" t="s">
        <v>221</v>
      </c>
      <c r="D62" s="636"/>
      <c r="E62" s="15"/>
      <c r="F62" s="13"/>
      <c r="H62" s="308"/>
    </row>
    <row r="63" spans="2:6" ht="13.5" thickBot="1">
      <c r="B63" s="16"/>
      <c r="C63" s="17"/>
      <c r="D63" s="17"/>
      <c r="E63" s="17"/>
      <c r="F63" s="18"/>
    </row>
    <row r="64" spans="2:6" ht="51" customHeight="1" thickBot="1">
      <c r="B64" s="637" t="s">
        <v>11</v>
      </c>
      <c r="C64" s="638"/>
      <c r="D64" s="638"/>
      <c r="E64" s="638"/>
      <c r="F64" s="665"/>
    </row>
    <row r="67" spans="3:5" ht="12.75">
      <c r="C67" s="311" t="s">
        <v>746</v>
      </c>
      <c r="D67" s="312" t="s">
        <v>166</v>
      </c>
      <c r="E67" s="313"/>
    </row>
    <row r="68" spans="3:5" ht="12.75">
      <c r="C68" s="516" t="s">
        <v>1016</v>
      </c>
      <c r="D68" s="230">
        <v>1</v>
      </c>
      <c r="E68" s="313"/>
    </row>
    <row r="69" spans="3:5" ht="12.75">
      <c r="C69" s="328" t="s">
        <v>172</v>
      </c>
      <c r="D69" s="230">
        <f aca="true" t="shared" si="0" ref="D69:D80">VLOOKUP(C69,GWPtable,2,FALSE)</f>
        <v>1300</v>
      </c>
      <c r="E69" s="314"/>
    </row>
    <row r="70" spans="3:5" ht="12.75">
      <c r="C70" s="328" t="s">
        <v>175</v>
      </c>
      <c r="D70" s="230">
        <f t="shared" si="0"/>
        <v>6300</v>
      </c>
      <c r="E70" s="314"/>
    </row>
    <row r="71" spans="3:5" ht="12.75">
      <c r="C71" s="328" t="s">
        <v>27</v>
      </c>
      <c r="D71" s="230">
        <v>950</v>
      </c>
      <c r="E71" s="314"/>
    </row>
    <row r="72" spans="3:5" ht="12.75">
      <c r="C72" s="328" t="s">
        <v>28</v>
      </c>
      <c r="D72" s="230">
        <v>20</v>
      </c>
      <c r="E72" s="314"/>
    </row>
    <row r="73" spans="3:5" ht="12.75">
      <c r="C73" s="328" t="s">
        <v>176</v>
      </c>
      <c r="D73" s="230">
        <v>18.2</v>
      </c>
      <c r="E73" s="314"/>
    </row>
    <row r="74" spans="3:5" ht="12.75">
      <c r="C74" s="328" t="s">
        <v>180</v>
      </c>
      <c r="D74" s="230">
        <f t="shared" si="0"/>
        <v>1680</v>
      </c>
      <c r="E74" s="314"/>
    </row>
    <row r="75" spans="3:5" ht="12.75">
      <c r="C75" s="328" t="s">
        <v>181</v>
      </c>
      <c r="D75" s="230">
        <f t="shared" si="0"/>
        <v>1064</v>
      </c>
      <c r="E75" s="314"/>
    </row>
    <row r="76" spans="3:5" ht="12.75">
      <c r="C76" s="328" t="s">
        <v>184</v>
      </c>
      <c r="D76" s="230">
        <f t="shared" si="0"/>
        <v>3260</v>
      </c>
      <c r="E76" s="314"/>
    </row>
    <row r="77" spans="3:5" ht="12.75">
      <c r="C77" s="328" t="s">
        <v>186</v>
      </c>
      <c r="D77" s="230">
        <f t="shared" si="0"/>
        <v>1770</v>
      </c>
      <c r="E77" s="309"/>
    </row>
    <row r="78" spans="3:5" ht="12.75">
      <c r="C78" s="328" t="s">
        <v>187</v>
      </c>
      <c r="D78" s="230">
        <f t="shared" si="0"/>
        <v>2285</v>
      </c>
      <c r="E78" s="309"/>
    </row>
    <row r="79" spans="3:5" ht="12.75">
      <c r="C79" s="328" t="s">
        <v>188</v>
      </c>
      <c r="D79" s="230">
        <f t="shared" si="0"/>
        <v>1525.5</v>
      </c>
      <c r="E79" s="309"/>
    </row>
    <row r="80" spans="3:5" ht="12.75">
      <c r="C80" s="328" t="s">
        <v>194</v>
      </c>
      <c r="D80" s="230">
        <f t="shared" si="0"/>
        <v>1725</v>
      </c>
      <c r="E80" s="309"/>
    </row>
    <row r="81" spans="3:5" ht="12.75">
      <c r="C81" s="328" t="s">
        <v>205</v>
      </c>
      <c r="D81" s="230">
        <v>1954.8</v>
      </c>
      <c r="E81" s="309"/>
    </row>
    <row r="82" spans="3:5" ht="12.75">
      <c r="C82" s="328" t="s">
        <v>30</v>
      </c>
      <c r="D82" s="230">
        <v>2532.3</v>
      </c>
      <c r="E82" s="309"/>
    </row>
    <row r="83" spans="3:5" ht="12.75">
      <c r="C83" s="328" t="s">
        <v>31</v>
      </c>
      <c r="D83" s="230">
        <v>2232.3</v>
      </c>
      <c r="E83" s="309"/>
    </row>
    <row r="84" spans="3:5" ht="12.75">
      <c r="C84" s="328" t="s">
        <v>58</v>
      </c>
      <c r="D84" s="230">
        <v>3300</v>
      </c>
      <c r="E84" s="309"/>
    </row>
    <row r="85" spans="3:5" ht="12.75">
      <c r="C85" s="328" t="s">
        <v>57</v>
      </c>
      <c r="D85" s="230">
        <v>3300</v>
      </c>
      <c r="E85" s="309"/>
    </row>
    <row r="86" spans="3:5" ht="12.75">
      <c r="C86" s="328" t="s">
        <v>217</v>
      </c>
      <c r="D86" s="230">
        <v>4563</v>
      </c>
      <c r="E86" s="309"/>
    </row>
    <row r="87" spans="3:5" ht="12.75">
      <c r="C87" s="328" t="s">
        <v>218</v>
      </c>
      <c r="D87" s="230">
        <v>5382</v>
      </c>
      <c r="E87" s="309"/>
    </row>
    <row r="88" spans="3:5" ht="12.75">
      <c r="C88" s="328" t="s">
        <v>29</v>
      </c>
      <c r="D88" s="230">
        <v>20</v>
      </c>
      <c r="E88" s="309"/>
    </row>
    <row r="89" spans="3:5" ht="12.75">
      <c r="C89" s="328" t="s">
        <v>32</v>
      </c>
      <c r="D89" s="230">
        <v>20</v>
      </c>
      <c r="E89" s="309"/>
    </row>
    <row r="90" ht="12.75">
      <c r="E90" s="309"/>
    </row>
    <row r="91" spans="3:5" ht="12.75">
      <c r="C91" s="315"/>
      <c r="D91" s="309"/>
      <c r="E91" s="309"/>
    </row>
    <row r="92" spans="3:5" ht="12.75">
      <c r="C92" s="315"/>
      <c r="D92" s="309"/>
      <c r="E92" s="309"/>
    </row>
  </sheetData>
  <sheetProtection/>
  <mergeCells count="2">
    <mergeCell ref="C62:D62"/>
    <mergeCell ref="B64:F64"/>
  </mergeCells>
  <printOptions/>
  <pageMargins left="0.75" right="0.75" top="1" bottom="1" header="0.5" footer="0.5"/>
  <pageSetup fitToHeight="1" fitToWidth="1" horizontalDpi="600" verticalDpi="600" orientation="portrait" scale="50" r:id="rId2"/>
  <drawing r:id="rId1"/>
</worksheet>
</file>

<file path=xl/worksheets/sheet12.xml><?xml version="1.0" encoding="utf-8"?>
<worksheet xmlns="http://schemas.openxmlformats.org/spreadsheetml/2006/main" xmlns:r="http://schemas.openxmlformats.org/officeDocument/2006/relationships">
  <sheetPr codeName="Sheet12"/>
  <dimension ref="A1:I19"/>
  <sheetViews>
    <sheetView showGridLines="0" zoomScale="85" zoomScaleNormal="85" workbookViewId="0" topLeftCell="A1">
      <selection activeCell="A2" sqref="A2"/>
    </sheetView>
  </sheetViews>
  <sheetFormatPr defaultColWidth="9.140625" defaultRowHeight="12.75"/>
  <cols>
    <col min="1" max="1" width="3.8515625" style="20" customWidth="1"/>
    <col min="2" max="2" width="3.140625" style="20" customWidth="1"/>
    <col min="3" max="3" width="34.7109375" style="20" customWidth="1"/>
    <col min="4" max="4" width="29.8515625" style="20" customWidth="1"/>
    <col min="5" max="5" width="22.00390625" style="20" customWidth="1"/>
    <col min="6" max="6" width="17.7109375" style="20" customWidth="1"/>
    <col min="7" max="7" width="16.8515625" style="20" customWidth="1"/>
    <col min="8" max="8" width="24.8515625" style="20" customWidth="1"/>
    <col min="9" max="9" width="3.7109375" style="20" customWidth="1"/>
    <col min="10" max="16384" width="8.8515625" style="20" customWidth="1"/>
  </cols>
  <sheetData>
    <row r="1" s="568" customFormat="1" ht="48" customHeight="1" thickBot="1">
      <c r="A1" s="568" t="s">
        <v>1048</v>
      </c>
    </row>
    <row r="2" ht="13.5" thickTop="1"/>
    <row r="3" ht="12.75"/>
    <row r="4" ht="12.75"/>
    <row r="5" ht="13.5" thickBot="1"/>
    <row r="6" spans="2:9" ht="12.75">
      <c r="B6" s="9"/>
      <c r="C6" s="10"/>
      <c r="D6" s="10"/>
      <c r="E6" s="10"/>
      <c r="F6" s="10"/>
      <c r="G6" s="10"/>
      <c r="H6" s="10"/>
      <c r="I6" s="11"/>
    </row>
    <row r="7" spans="2:9" ht="12.75">
      <c r="B7" s="12"/>
      <c r="C7" s="666" t="s">
        <v>222</v>
      </c>
      <c r="D7" s="667"/>
      <c r="E7" s="667"/>
      <c r="F7" s="667"/>
      <c r="G7" s="667"/>
      <c r="H7" s="668"/>
      <c r="I7" s="13"/>
    </row>
    <row r="8" spans="2:9" ht="12.75">
      <c r="B8" s="12"/>
      <c r="C8" s="672" t="s">
        <v>223</v>
      </c>
      <c r="D8" s="340"/>
      <c r="E8" s="672" t="s">
        <v>224</v>
      </c>
      <c r="F8" s="672" t="s">
        <v>225</v>
      </c>
      <c r="G8" s="672"/>
      <c r="H8" s="672"/>
      <c r="I8" s="13"/>
    </row>
    <row r="9" spans="2:9" ht="38.25">
      <c r="B9" s="12"/>
      <c r="C9" s="672"/>
      <c r="D9" s="341" t="s">
        <v>226</v>
      </c>
      <c r="E9" s="672"/>
      <c r="F9" s="339" t="s">
        <v>227</v>
      </c>
      <c r="G9" s="339" t="s">
        <v>228</v>
      </c>
      <c r="H9" s="339" t="s">
        <v>748</v>
      </c>
      <c r="I9" s="13"/>
    </row>
    <row r="10" spans="2:9" ht="12.75">
      <c r="B10" s="12"/>
      <c r="C10" s="329" t="s">
        <v>737</v>
      </c>
      <c r="D10" s="330">
        <f>AVERAGE(0.05,0.5)</f>
        <v>0.275</v>
      </c>
      <c r="E10" s="330">
        <f>AVERAGE(12,15)</f>
        <v>13.5</v>
      </c>
      <c r="F10" s="331">
        <f>AVERAGE(0.2,1)%</f>
        <v>0.006</v>
      </c>
      <c r="G10" s="332">
        <f>AVERAGE(0.1,0.5)%</f>
        <v>0.003</v>
      </c>
      <c r="H10" s="333">
        <v>0.7</v>
      </c>
      <c r="I10" s="13"/>
    </row>
    <row r="11" spans="2:9" ht="12.75">
      <c r="B11" s="12"/>
      <c r="C11" s="334" t="s">
        <v>738</v>
      </c>
      <c r="D11" s="330">
        <f>AVERAGE(0.2,6)</f>
        <v>3.1</v>
      </c>
      <c r="E11" s="330">
        <f>AVERAGE(8,12)</f>
        <v>10</v>
      </c>
      <c r="F11" s="332">
        <f>AVERAGE(0.5,3)%</f>
        <v>0.0175</v>
      </c>
      <c r="G11" s="332">
        <f>AVERAGE(1,10)%</f>
        <v>0.055</v>
      </c>
      <c r="H11" s="333">
        <f>AVERAGE(70,80)%</f>
        <v>0.75</v>
      </c>
      <c r="I11" s="13"/>
    </row>
    <row r="12" spans="2:9" ht="12.75">
      <c r="B12" s="12"/>
      <c r="C12" s="329" t="s">
        <v>739</v>
      </c>
      <c r="D12" s="330">
        <f>AVERAGE(50,2000)</f>
        <v>1025</v>
      </c>
      <c r="E12" s="330">
        <f>AVERAGE(7,10)</f>
        <v>8.5</v>
      </c>
      <c r="F12" s="332">
        <f>AVERAGE(0.5,3)%</f>
        <v>0.0175</v>
      </c>
      <c r="G12" s="332">
        <f>AVERAGE(10,30)%</f>
        <v>0.2</v>
      </c>
      <c r="H12" s="333">
        <f>AVERAGE(80,90)%</f>
        <v>0.85</v>
      </c>
      <c r="I12" s="13"/>
    </row>
    <row r="13" spans="2:9" ht="12.75">
      <c r="B13" s="12"/>
      <c r="C13" s="334" t="s">
        <v>229</v>
      </c>
      <c r="D13" s="330">
        <f>AVERAGE(3,8)</f>
        <v>5.5</v>
      </c>
      <c r="E13" s="330">
        <f>AVERAGE(6,9)</f>
        <v>7.5</v>
      </c>
      <c r="F13" s="332">
        <f>AVERAGE(0.2,1)%</f>
        <v>0.006</v>
      </c>
      <c r="G13" s="332">
        <f>AVERAGE(15,50)%</f>
        <v>0.325</v>
      </c>
      <c r="H13" s="333">
        <f>AVERAGE(70,80)%</f>
        <v>0.75</v>
      </c>
      <c r="I13" s="13"/>
    </row>
    <row r="14" spans="2:9" ht="12.75">
      <c r="B14" s="12"/>
      <c r="C14" s="329" t="s">
        <v>736</v>
      </c>
      <c r="D14" s="335">
        <f>AVERAGE(10,10000)</f>
        <v>5005</v>
      </c>
      <c r="E14" s="330">
        <f>AVERAGE(10,20)</f>
        <v>15</v>
      </c>
      <c r="F14" s="332">
        <f>AVERAGE(0.5,3)%</f>
        <v>0.0175</v>
      </c>
      <c r="G14" s="332">
        <f>AVERAGE(7,25)%</f>
        <v>0.16</v>
      </c>
      <c r="H14" s="333">
        <f>AVERAGE(80,90)%</f>
        <v>0.85</v>
      </c>
      <c r="I14" s="13"/>
    </row>
    <row r="15" spans="2:9" ht="16.5" customHeight="1">
      <c r="B15" s="12"/>
      <c r="C15" s="329" t="s">
        <v>230</v>
      </c>
      <c r="D15" s="330">
        <f>AVERAGE(10,2000)</f>
        <v>1005</v>
      </c>
      <c r="E15" s="330">
        <f>AVERAGE(10,30)</f>
        <v>20</v>
      </c>
      <c r="F15" s="332">
        <f>AVERAGE(0.2,1)%</f>
        <v>0.006</v>
      </c>
      <c r="G15" s="332">
        <f>AVERAGE(2,15)%</f>
        <v>0.085</v>
      </c>
      <c r="H15" s="333">
        <f>AVERAGE(80,95)%</f>
        <v>0.875</v>
      </c>
      <c r="I15" s="13"/>
    </row>
    <row r="16" spans="2:9" ht="18" customHeight="1">
      <c r="B16" s="12"/>
      <c r="C16" s="329" t="s">
        <v>741</v>
      </c>
      <c r="D16" s="335">
        <f>AVERAGE(0.5,100)</f>
        <v>50.25</v>
      </c>
      <c r="E16" s="330">
        <f>AVERAGE(10,15)</f>
        <v>12.5</v>
      </c>
      <c r="F16" s="332">
        <f>AVERAGE(0.2,1)%</f>
        <v>0.006</v>
      </c>
      <c r="G16" s="332">
        <f>AVERAGE(1,5)%</f>
        <v>0.03</v>
      </c>
      <c r="H16" s="333">
        <f>AVERAGE(70,80)%</f>
        <v>0.75</v>
      </c>
      <c r="I16" s="13"/>
    </row>
    <row r="17" spans="2:9" ht="29.25" customHeight="1">
      <c r="B17" s="12"/>
      <c r="C17" s="334" t="s">
        <v>740</v>
      </c>
      <c r="D17" s="336">
        <f>AVERAGE(0.5,1.5)</f>
        <v>1</v>
      </c>
      <c r="E17" s="330">
        <v>12</v>
      </c>
      <c r="F17" s="337">
        <v>0.005</v>
      </c>
      <c r="G17" s="332">
        <f>AVERAGE(10,20)%</f>
        <v>0.15</v>
      </c>
      <c r="H17" s="338">
        <v>0</v>
      </c>
      <c r="I17" s="13"/>
    </row>
    <row r="18" spans="2:9" ht="29.25" customHeight="1">
      <c r="B18" s="12"/>
      <c r="C18" s="669" t="s">
        <v>231</v>
      </c>
      <c r="D18" s="670"/>
      <c r="E18" s="670"/>
      <c r="F18" s="670"/>
      <c r="G18" s="670"/>
      <c r="H18" s="671"/>
      <c r="I18" s="13"/>
    </row>
    <row r="19" spans="2:9" ht="13.5" thickBot="1">
      <c r="B19" s="16"/>
      <c r="C19" s="17"/>
      <c r="D19" s="17"/>
      <c r="E19" s="17"/>
      <c r="F19" s="17"/>
      <c r="G19" s="17"/>
      <c r="H19" s="17"/>
      <c r="I19" s="18"/>
    </row>
  </sheetData>
  <sheetProtection/>
  <mergeCells count="5">
    <mergeCell ref="C7:H7"/>
    <mergeCell ref="C18:H18"/>
    <mergeCell ref="F8:H8"/>
    <mergeCell ref="E8:E9"/>
    <mergeCell ref="C8:C9"/>
  </mergeCells>
  <printOptions/>
  <pageMargins left="0.75" right="0.75" top="1" bottom="1" header="0.5" footer="0.5"/>
  <pageSetup horizontalDpi="600" verticalDpi="600" orientation="portrait" r:id="rId4"/>
  <drawing r:id="rId3"/>
  <legacyDrawing r:id="rId2"/>
</worksheet>
</file>

<file path=xl/worksheets/sheet13.xml><?xml version="1.0" encoding="utf-8"?>
<worksheet xmlns="http://schemas.openxmlformats.org/spreadsheetml/2006/main" xmlns:r="http://schemas.openxmlformats.org/officeDocument/2006/relationships">
  <sheetPr codeName="Sheet15"/>
  <dimension ref="A1:U67"/>
  <sheetViews>
    <sheetView showGridLines="0" zoomScale="90" zoomScaleNormal="90" workbookViewId="0" topLeftCell="A1">
      <pane ySplit="6" topLeftCell="BM28" activePane="bottomLeft" state="frozen"/>
      <selection pane="topLeft" activeCell="A1" sqref="A1"/>
      <selection pane="bottomLeft" activeCell="A1" sqref="A1"/>
    </sheetView>
  </sheetViews>
  <sheetFormatPr defaultColWidth="9.140625" defaultRowHeight="12.75"/>
  <cols>
    <col min="2" max="2" width="7.57421875" style="0" customWidth="1"/>
    <col min="3" max="3" width="11.28125" style="231" customWidth="1"/>
    <col min="4" max="5" width="11.28125" style="232" customWidth="1"/>
    <col min="6" max="6" width="2.140625" style="232" customWidth="1"/>
    <col min="7" max="9" width="11.28125" style="232" customWidth="1"/>
    <col min="10" max="10" width="14.28125" style="232" customWidth="1"/>
    <col min="11" max="11" width="4.421875" style="0" customWidth="1"/>
    <col min="12" max="21" width="2.28125" style="299" customWidth="1"/>
  </cols>
  <sheetData>
    <row r="1" spans="1:17" s="569" customFormat="1" ht="45.75" customHeight="1" thickBot="1">
      <c r="A1" s="568" t="s">
        <v>1049</v>
      </c>
      <c r="C1" s="570"/>
      <c r="D1" s="571"/>
      <c r="E1" s="571"/>
      <c r="F1" s="571"/>
      <c r="G1" s="571"/>
      <c r="H1" s="571"/>
      <c r="I1" s="571"/>
      <c r="J1" s="571"/>
      <c r="L1" s="572"/>
      <c r="Q1" s="572"/>
    </row>
    <row r="2" spans="1:12" ht="13.5" thickTop="1">
      <c r="A2" s="306" t="s">
        <v>751</v>
      </c>
      <c r="B2" s="1"/>
      <c r="L2" s="298"/>
    </row>
    <row r="3" ht="12.75">
      <c r="L3" s="300" t="s">
        <v>752</v>
      </c>
    </row>
    <row r="4" ht="13.5" thickBot="1">
      <c r="L4" s="298" t="s">
        <v>753</v>
      </c>
    </row>
    <row r="5" spans="2:15" ht="12.75">
      <c r="B5" t="s">
        <v>77</v>
      </c>
      <c r="C5" s="233" t="s">
        <v>925</v>
      </c>
      <c r="D5" s="234" t="s">
        <v>754</v>
      </c>
      <c r="E5" s="234" t="s">
        <v>755</v>
      </c>
      <c r="F5" s="234"/>
      <c r="G5" s="235" t="s">
        <v>925</v>
      </c>
      <c r="H5" s="236" t="s">
        <v>754</v>
      </c>
      <c r="I5" s="237" t="s">
        <v>755</v>
      </c>
      <c r="J5" s="238"/>
      <c r="N5" s="301" t="s">
        <v>754</v>
      </c>
      <c r="O5" s="301" t="s">
        <v>755</v>
      </c>
    </row>
    <row r="6" spans="2:21" ht="15" customHeight="1">
      <c r="B6" t="s">
        <v>926</v>
      </c>
      <c r="C6" s="239" t="s">
        <v>756</v>
      </c>
      <c r="D6" s="239" t="s">
        <v>756</v>
      </c>
      <c r="E6" s="239" t="s">
        <v>756</v>
      </c>
      <c r="F6" s="239"/>
      <c r="G6" s="240" t="s">
        <v>757</v>
      </c>
      <c r="H6" s="241" t="s">
        <v>757</v>
      </c>
      <c r="I6" s="242" t="s">
        <v>757</v>
      </c>
      <c r="J6" s="243"/>
      <c r="M6" s="299" t="s">
        <v>758</v>
      </c>
      <c r="N6" s="302" t="s">
        <v>759</v>
      </c>
      <c r="O6" s="302" t="s">
        <v>759</v>
      </c>
      <c r="S6" s="299" t="s">
        <v>760</v>
      </c>
      <c r="T6" s="303" t="s">
        <v>761</v>
      </c>
      <c r="U6" s="299" t="str">
        <f aca="true" t="shared" si="0" ref="U6:U37">PROPER(S6)</f>
        <v>Alabama</v>
      </c>
    </row>
    <row r="7" spans="1:21" ht="15" customHeight="1">
      <c r="A7" t="str">
        <f>VLOOKUP(B7,$T$6:$U$58,2,FALSE)</f>
        <v>Alaska</v>
      </c>
      <c r="B7" s="244" t="s">
        <v>762</v>
      </c>
      <c r="C7" s="231">
        <v>1106.484</v>
      </c>
      <c r="D7" s="232">
        <f aca="true" t="shared" si="1" ref="D7:D13">VLOOKUP(B7,US_CH4_N2O_EF,2,0)</f>
        <v>0.0068</v>
      </c>
      <c r="E7" s="232">
        <f aca="true" t="shared" si="2" ref="E7:E13">VLOOKUP(B7,US_CH4_N2O_EF,3,0)</f>
        <v>0.0089</v>
      </c>
      <c r="G7" s="245">
        <f>C7*'Conversion Factors'!$D$28</f>
        <v>0.5018068027210884</v>
      </c>
      <c r="H7" s="246">
        <f>D7*'Conversion Factors'!$D$28</f>
        <v>3.0839002267573694E-06</v>
      </c>
      <c r="I7" s="247">
        <f>E7*'Conversion Factors'!$D$28</f>
        <v>4.0362811791383216E-06</v>
      </c>
      <c r="J7" s="248"/>
      <c r="L7" s="300" t="s">
        <v>763</v>
      </c>
      <c r="M7" s="300"/>
      <c r="N7" s="304">
        <v>0.0053</v>
      </c>
      <c r="O7" s="304">
        <v>0.0037</v>
      </c>
      <c r="S7" s="299" t="s">
        <v>764</v>
      </c>
      <c r="T7" s="303" t="s">
        <v>762</v>
      </c>
      <c r="U7" s="299" t="str">
        <f t="shared" si="0"/>
        <v>Alaska</v>
      </c>
    </row>
    <row r="8" spans="1:21" ht="15" customHeight="1">
      <c r="A8" t="str">
        <f aca="true" t="shared" si="3" ref="A8:A57">VLOOKUP(B8,$T$6:$U$58,2,FALSE)</f>
        <v>Alabama</v>
      </c>
      <c r="B8" s="244" t="s">
        <v>761</v>
      </c>
      <c r="C8" s="231">
        <v>1298.652</v>
      </c>
      <c r="D8" s="232">
        <f t="shared" si="1"/>
        <v>0.0137</v>
      </c>
      <c r="E8" s="232">
        <f t="shared" si="2"/>
        <v>0.0223</v>
      </c>
      <c r="G8" s="245">
        <f>C8*'Conversion Factors'!$D$28</f>
        <v>0.5889578231292517</v>
      </c>
      <c r="H8" s="246">
        <f>D8*'Conversion Factors'!$D$28</f>
        <v>6.2131519274376415E-06</v>
      </c>
      <c r="I8" s="247">
        <f>E8*'Conversion Factors'!$D$28</f>
        <v>1.0113378684807256E-05</v>
      </c>
      <c r="J8" s="248"/>
      <c r="L8" s="299" t="s">
        <v>765</v>
      </c>
      <c r="M8" s="299" t="str">
        <f>VLOOKUP(L8,US_Abb,2,0)</f>
        <v>CA</v>
      </c>
      <c r="N8" s="305">
        <v>0.0067</v>
      </c>
      <c r="O8" s="305">
        <v>0.0037</v>
      </c>
      <c r="S8" s="299" t="s">
        <v>768</v>
      </c>
      <c r="T8" s="303" t="s">
        <v>769</v>
      </c>
      <c r="U8" s="299" t="str">
        <f t="shared" si="0"/>
        <v>Arizona</v>
      </c>
    </row>
    <row r="9" spans="1:21" ht="15" customHeight="1">
      <c r="A9" t="str">
        <f t="shared" si="3"/>
        <v>Arkansas</v>
      </c>
      <c r="B9" s="244" t="s">
        <v>766</v>
      </c>
      <c r="C9" s="231">
        <v>1280.254</v>
      </c>
      <c r="D9" s="232">
        <f t="shared" si="1"/>
        <v>0.0125</v>
      </c>
      <c r="E9" s="232">
        <f t="shared" si="2"/>
        <v>0.0203</v>
      </c>
      <c r="G9" s="245">
        <f>C9*'Conversion Factors'!$D$28</f>
        <v>0.580614058956916</v>
      </c>
      <c r="H9" s="246">
        <f>D9*'Conversion Factors'!$D$28</f>
        <v>5.668934240362812E-06</v>
      </c>
      <c r="I9" s="247">
        <f>E9*'Conversion Factors'!$D$28</f>
        <v>9.206349206349206E-06</v>
      </c>
      <c r="J9" s="248"/>
      <c r="L9" s="299" t="s">
        <v>767</v>
      </c>
      <c r="M9" s="299" t="str">
        <f>VLOOKUP(L9,US_Abb,2,0)</f>
        <v>OR</v>
      </c>
      <c r="N9" s="305">
        <v>0.0033</v>
      </c>
      <c r="O9" s="305">
        <v>0.0034</v>
      </c>
      <c r="S9" s="299" t="s">
        <v>771</v>
      </c>
      <c r="T9" s="303" t="s">
        <v>766</v>
      </c>
      <c r="U9" s="299" t="str">
        <f t="shared" si="0"/>
        <v>Arkansas</v>
      </c>
    </row>
    <row r="10" spans="1:21" ht="15" customHeight="1">
      <c r="A10" t="str">
        <f t="shared" si="3"/>
        <v>Arizona</v>
      </c>
      <c r="B10" s="244" t="s">
        <v>769</v>
      </c>
      <c r="C10" s="231">
        <v>1218.864</v>
      </c>
      <c r="D10" s="232">
        <f t="shared" si="1"/>
        <v>0.0068</v>
      </c>
      <c r="E10" s="232">
        <f t="shared" si="2"/>
        <v>0.0154</v>
      </c>
      <c r="G10" s="245">
        <f>C10*'Conversion Factors'!$D$28</f>
        <v>0.5527727891156462</v>
      </c>
      <c r="H10" s="246">
        <f>D10*'Conversion Factors'!$D$28</f>
        <v>3.0839002267573694E-06</v>
      </c>
      <c r="I10" s="247">
        <f>E10*'Conversion Factors'!$D$28</f>
        <v>6.984126984126984E-06</v>
      </c>
      <c r="J10" s="248"/>
      <c r="L10" s="299" t="s">
        <v>770</v>
      </c>
      <c r="M10" s="299" t="str">
        <f>VLOOKUP(L10,US_Abb,2,0)</f>
        <v>WA</v>
      </c>
      <c r="N10" s="305">
        <v>0.0037</v>
      </c>
      <c r="O10" s="305">
        <v>0.004</v>
      </c>
      <c r="S10" s="299" t="s">
        <v>774</v>
      </c>
      <c r="T10" s="303" t="s">
        <v>772</v>
      </c>
      <c r="U10" s="299" t="str">
        <f t="shared" si="0"/>
        <v>California</v>
      </c>
    </row>
    <row r="11" spans="1:21" ht="15" customHeight="1">
      <c r="A11" t="str">
        <f t="shared" si="3"/>
        <v>California</v>
      </c>
      <c r="B11" s="244" t="s">
        <v>772</v>
      </c>
      <c r="C11" s="231">
        <v>700.4</v>
      </c>
      <c r="D11" s="232">
        <f t="shared" si="1"/>
        <v>0.0067</v>
      </c>
      <c r="E11" s="232">
        <f t="shared" si="2"/>
        <v>0.0037</v>
      </c>
      <c r="G11" s="245">
        <f>C11*'Conversion Factors'!$D$28</f>
        <v>0.31764172335600904</v>
      </c>
      <c r="H11" s="246">
        <f>D11*'Conversion Factors'!$D$28</f>
        <v>3.038548752834467E-06</v>
      </c>
      <c r="I11" s="247">
        <f>E11*'Conversion Factors'!$D$28</f>
        <v>1.6780045351473923E-06</v>
      </c>
      <c r="J11" s="248"/>
      <c r="L11" s="300" t="s">
        <v>773</v>
      </c>
      <c r="N11" s="304">
        <v>0.0161</v>
      </c>
      <c r="O11" s="304">
        <v>0.0149</v>
      </c>
      <c r="S11" s="299" t="s">
        <v>777</v>
      </c>
      <c r="T11" s="303" t="s">
        <v>775</v>
      </c>
      <c r="U11" s="299" t="str">
        <f t="shared" si="0"/>
        <v>Colorado</v>
      </c>
    </row>
    <row r="12" spans="1:21" ht="15" customHeight="1">
      <c r="A12" t="str">
        <f t="shared" si="3"/>
        <v>Colorado</v>
      </c>
      <c r="B12" s="244" t="s">
        <v>775</v>
      </c>
      <c r="C12" s="231">
        <v>1986.085</v>
      </c>
      <c r="D12" s="232">
        <f t="shared" si="1"/>
        <v>0.0127</v>
      </c>
      <c r="E12" s="232">
        <f t="shared" si="2"/>
        <v>0.0289</v>
      </c>
      <c r="G12" s="245">
        <f>C12*'Conversion Factors'!$D$28</f>
        <v>0.900718820861678</v>
      </c>
      <c r="H12" s="246">
        <f>D12*'Conversion Factors'!$D$28</f>
        <v>5.759637188208616E-06</v>
      </c>
      <c r="I12" s="247">
        <f>E12*'Conversion Factors'!$D$28</f>
        <v>1.310657596371882E-05</v>
      </c>
      <c r="J12" s="248"/>
      <c r="L12" s="299" t="s">
        <v>776</v>
      </c>
      <c r="M12" s="299" t="str">
        <f>VLOOKUP(L12,US_Abb,2,0)</f>
        <v>AK</v>
      </c>
      <c r="N12" s="305">
        <v>0.0068</v>
      </c>
      <c r="O12" s="305">
        <v>0.0089</v>
      </c>
      <c r="S12" s="299" t="s">
        <v>780</v>
      </c>
      <c r="T12" s="303" t="s">
        <v>778</v>
      </c>
      <c r="U12" s="299" t="str">
        <f t="shared" si="0"/>
        <v>Connecticut</v>
      </c>
    </row>
    <row r="13" spans="1:21" ht="15" customHeight="1">
      <c r="A13" t="str">
        <f t="shared" si="3"/>
        <v>Connecticut</v>
      </c>
      <c r="B13" s="244" t="s">
        <v>778</v>
      </c>
      <c r="C13" s="231">
        <v>754.186</v>
      </c>
      <c r="D13" s="232">
        <f t="shared" si="1"/>
        <v>0.0174</v>
      </c>
      <c r="E13" s="232">
        <f t="shared" si="2"/>
        <v>0.012</v>
      </c>
      <c r="G13" s="245">
        <f>C13*'Conversion Factors'!$D$28</f>
        <v>0.3420344671201814</v>
      </c>
      <c r="H13" s="246">
        <f>D13*'Conversion Factors'!$D$28</f>
        <v>7.891156462585033E-06</v>
      </c>
      <c r="I13" s="247">
        <f>E13*'Conversion Factors'!$D$28</f>
        <v>5.442176870748299E-06</v>
      </c>
      <c r="J13" s="248"/>
      <c r="L13" s="299" t="s">
        <v>779</v>
      </c>
      <c r="M13" s="299" t="str">
        <f>VLOOKUP(L13,US_Abb,2,0)</f>
        <v>HI</v>
      </c>
      <c r="N13" s="305">
        <v>0.0214</v>
      </c>
      <c r="O13" s="305">
        <v>0.0183</v>
      </c>
      <c r="S13" s="299" t="s">
        <v>783</v>
      </c>
      <c r="T13" s="303" t="s">
        <v>784</v>
      </c>
      <c r="U13" s="299" t="str">
        <f t="shared" si="0"/>
        <v>Delaware</v>
      </c>
    </row>
    <row r="14" spans="1:21" ht="15" customHeight="1">
      <c r="A14" t="str">
        <f t="shared" si="3"/>
        <v>District Of Columbia</v>
      </c>
      <c r="B14" s="244" t="s">
        <v>781</v>
      </c>
      <c r="C14" s="231">
        <v>3614.251</v>
      </c>
      <c r="D14" s="232">
        <f>D52</f>
        <v>0.0137</v>
      </c>
      <c r="E14" s="232">
        <f>E52</f>
        <v>0.0192</v>
      </c>
      <c r="G14" s="245">
        <f>C14*'Conversion Factors'!$D$28</f>
        <v>1.6391160997732426</v>
      </c>
      <c r="H14" s="246">
        <f>D14*'Conversion Factors'!$D$28</f>
        <v>6.2131519274376415E-06</v>
      </c>
      <c r="I14" s="247">
        <f>E14*'Conversion Factors'!$D$28</f>
        <v>8.707482993197278E-06</v>
      </c>
      <c r="J14" s="248"/>
      <c r="L14" s="300" t="s">
        <v>782</v>
      </c>
      <c r="M14" s="300"/>
      <c r="N14" s="304">
        <v>0.0108</v>
      </c>
      <c r="O14" s="304">
        <v>0.0236</v>
      </c>
      <c r="S14" s="299" t="s">
        <v>786</v>
      </c>
      <c r="T14" s="303" t="s">
        <v>781</v>
      </c>
      <c r="U14" s="299" t="str">
        <f t="shared" si="0"/>
        <v>District Of Columbia</v>
      </c>
    </row>
    <row r="15" spans="1:21" ht="30">
      <c r="A15" t="str">
        <f t="shared" si="3"/>
        <v>Delaware</v>
      </c>
      <c r="B15" s="244" t="s">
        <v>784</v>
      </c>
      <c r="C15" s="231">
        <v>1803.732</v>
      </c>
      <c r="D15" s="232">
        <f aca="true" t="shared" si="4" ref="D15:D57">VLOOKUP(B15,US_CH4_N2O_EF,2,0)</f>
        <v>0.0123</v>
      </c>
      <c r="E15" s="232">
        <f aca="true" t="shared" si="5" ref="E15:E57">VLOOKUP(B15,US_CH4_N2O_EF,3,0)</f>
        <v>0.0227</v>
      </c>
      <c r="G15" s="245">
        <f>C15*'Conversion Factors'!$D$28</f>
        <v>0.8180190476190475</v>
      </c>
      <c r="H15" s="246">
        <f>D15*'Conversion Factors'!$D$28</f>
        <v>5.578231292517007E-06</v>
      </c>
      <c r="I15" s="247">
        <f>E15*'Conversion Factors'!$D$28</f>
        <v>1.0294784580498866E-05</v>
      </c>
      <c r="J15" s="248"/>
      <c r="L15" s="299" t="s">
        <v>785</v>
      </c>
      <c r="M15" s="299" t="str">
        <f aca="true" t="shared" si="6" ref="M15:M22">VLOOKUP(L15,US_Abb,2,0)</f>
        <v>AZ</v>
      </c>
      <c r="N15" s="305">
        <v>0.0068</v>
      </c>
      <c r="O15" s="305">
        <v>0.0154</v>
      </c>
      <c r="S15" s="299" t="s">
        <v>791</v>
      </c>
      <c r="T15" s="303" t="s">
        <v>787</v>
      </c>
      <c r="U15" s="299" t="str">
        <f t="shared" si="0"/>
        <v>Florida</v>
      </c>
    </row>
    <row r="16" spans="1:21" ht="30">
      <c r="A16" t="str">
        <f t="shared" si="3"/>
        <v>Florida</v>
      </c>
      <c r="B16" s="244" t="s">
        <v>787</v>
      </c>
      <c r="C16" s="231">
        <v>1348.031</v>
      </c>
      <c r="D16" s="232">
        <f t="shared" si="4"/>
        <v>0.015</v>
      </c>
      <c r="E16" s="232">
        <f t="shared" si="5"/>
        <v>0.018</v>
      </c>
      <c r="G16" s="245">
        <f>C16*'Conversion Factors'!$D$28</f>
        <v>0.6113519274376417</v>
      </c>
      <c r="H16" s="246">
        <f>D16*'Conversion Factors'!$D$28</f>
        <v>6.802721088435374E-06</v>
      </c>
      <c r="I16" s="247">
        <f>E16*'Conversion Factors'!$D$28</f>
        <v>8.163265306122448E-06</v>
      </c>
      <c r="J16" s="248"/>
      <c r="L16" s="299" t="s">
        <v>788</v>
      </c>
      <c r="M16" s="299" t="str">
        <f t="shared" si="6"/>
        <v>CO</v>
      </c>
      <c r="N16" s="305">
        <v>0.0127</v>
      </c>
      <c r="O16" s="305">
        <v>0.0289</v>
      </c>
      <c r="S16" s="299" t="s">
        <v>794</v>
      </c>
      <c r="T16" s="303" t="s">
        <v>789</v>
      </c>
      <c r="U16" s="299" t="str">
        <f t="shared" si="0"/>
        <v>Georgia</v>
      </c>
    </row>
    <row r="17" spans="1:21" ht="15" customHeight="1">
      <c r="A17" t="str">
        <f t="shared" si="3"/>
        <v>Georgia</v>
      </c>
      <c r="B17" s="244" t="s">
        <v>789</v>
      </c>
      <c r="C17" s="231">
        <v>1388.331</v>
      </c>
      <c r="D17" s="232">
        <f t="shared" si="4"/>
        <v>0.0129</v>
      </c>
      <c r="E17" s="232">
        <f t="shared" si="5"/>
        <v>0.0226</v>
      </c>
      <c r="G17" s="245">
        <f>C17*'Conversion Factors'!$D$28</f>
        <v>0.6296285714285713</v>
      </c>
      <c r="H17" s="246">
        <f>D17*'Conversion Factors'!$D$28</f>
        <v>5.8503401360544215E-06</v>
      </c>
      <c r="I17" s="247">
        <f>E17*'Conversion Factors'!$D$28</f>
        <v>1.0249433106575963E-05</v>
      </c>
      <c r="J17" s="248"/>
      <c r="L17" s="299" t="s">
        <v>790</v>
      </c>
      <c r="M17" s="299" t="str">
        <f t="shared" si="6"/>
        <v>ID</v>
      </c>
      <c r="N17" s="305">
        <v>0.008</v>
      </c>
      <c r="O17" s="305">
        <v>0.0033</v>
      </c>
      <c r="S17" s="299" t="s">
        <v>799</v>
      </c>
      <c r="T17" s="303" t="s">
        <v>792</v>
      </c>
      <c r="U17" s="299" t="str">
        <f t="shared" si="0"/>
        <v>Hawaii</v>
      </c>
    </row>
    <row r="18" spans="1:21" ht="15" customHeight="1">
      <c r="A18" t="str">
        <f t="shared" si="3"/>
        <v>Hawaii</v>
      </c>
      <c r="B18" s="244" t="s">
        <v>792</v>
      </c>
      <c r="C18" s="231">
        <v>1654.736</v>
      </c>
      <c r="D18" s="232">
        <f t="shared" si="4"/>
        <v>0.0214</v>
      </c>
      <c r="E18" s="232">
        <f t="shared" si="5"/>
        <v>0.0183</v>
      </c>
      <c r="G18" s="245">
        <f>C18*'Conversion Factors'!$D$28</f>
        <v>0.7504471655328798</v>
      </c>
      <c r="H18" s="246">
        <f>D18*'Conversion Factors'!$D$28</f>
        <v>9.705215419501132E-06</v>
      </c>
      <c r="I18" s="247">
        <f>E18*'Conversion Factors'!$D$28</f>
        <v>8.299319727891155E-06</v>
      </c>
      <c r="J18" s="248"/>
      <c r="L18" s="299" t="s">
        <v>793</v>
      </c>
      <c r="M18" s="299" t="str">
        <f t="shared" si="6"/>
        <v>MT</v>
      </c>
      <c r="N18" s="305">
        <v>0.0108</v>
      </c>
      <c r="O18" s="305">
        <v>0.0227</v>
      </c>
      <c r="S18" s="299" t="s">
        <v>802</v>
      </c>
      <c r="T18" s="303" t="s">
        <v>797</v>
      </c>
      <c r="U18" s="299" t="str">
        <f t="shared" si="0"/>
        <v>Idaho</v>
      </c>
    </row>
    <row r="19" spans="1:21" ht="15" customHeight="1">
      <c r="A19" t="str">
        <f t="shared" si="3"/>
        <v>Iowa</v>
      </c>
      <c r="B19" s="244" t="s">
        <v>795</v>
      </c>
      <c r="C19" s="231">
        <v>1943.284</v>
      </c>
      <c r="D19" s="232">
        <f t="shared" si="4"/>
        <v>0.0138</v>
      </c>
      <c r="E19" s="232">
        <f t="shared" si="5"/>
        <v>0.0298</v>
      </c>
      <c r="G19" s="245">
        <f>C19*'Conversion Factors'!$D$28</f>
        <v>0.8813079365079365</v>
      </c>
      <c r="H19" s="246">
        <f>D19*'Conversion Factors'!$D$28</f>
        <v>6.258503401360544E-06</v>
      </c>
      <c r="I19" s="247">
        <f>E19*'Conversion Factors'!$D$28</f>
        <v>1.3514739229024942E-05</v>
      </c>
      <c r="J19" s="248"/>
      <c r="L19" s="299" t="s">
        <v>796</v>
      </c>
      <c r="M19" s="299" t="str">
        <f t="shared" si="6"/>
        <v>NV</v>
      </c>
      <c r="N19" s="305">
        <v>0.009</v>
      </c>
      <c r="O19" s="305">
        <v>0.0195</v>
      </c>
      <c r="S19" s="299" t="s">
        <v>805</v>
      </c>
      <c r="T19" s="303" t="s">
        <v>800</v>
      </c>
      <c r="U19" s="299" t="str">
        <f t="shared" si="0"/>
        <v>Illinois</v>
      </c>
    </row>
    <row r="20" spans="1:21" ht="15" customHeight="1">
      <c r="A20" t="str">
        <f t="shared" si="3"/>
        <v>Idaho</v>
      </c>
      <c r="B20" s="244" t="s">
        <v>797</v>
      </c>
      <c r="C20" s="231">
        <v>143.945</v>
      </c>
      <c r="D20" s="232">
        <f t="shared" si="4"/>
        <v>0.008</v>
      </c>
      <c r="E20" s="232">
        <f t="shared" si="5"/>
        <v>0.0033</v>
      </c>
      <c r="G20" s="245">
        <f>C20*'Conversion Factors'!$D$28</f>
        <v>0.06528117913832199</v>
      </c>
      <c r="H20" s="246">
        <f>D20*'Conversion Factors'!$D$28</f>
        <v>3.6281179138321994E-06</v>
      </c>
      <c r="I20" s="247">
        <f>E20*'Conversion Factors'!$D$28</f>
        <v>1.4965986394557821E-06</v>
      </c>
      <c r="J20" s="248"/>
      <c r="L20" s="299" t="s">
        <v>798</v>
      </c>
      <c r="M20" s="299" t="str">
        <f t="shared" si="6"/>
        <v>NM</v>
      </c>
      <c r="N20" s="305">
        <v>0.0131</v>
      </c>
      <c r="O20" s="305">
        <v>0.0296</v>
      </c>
      <c r="S20" s="299" t="s">
        <v>808</v>
      </c>
      <c r="T20" s="303" t="s">
        <v>803</v>
      </c>
      <c r="U20" s="299" t="str">
        <f t="shared" si="0"/>
        <v>Indiana</v>
      </c>
    </row>
    <row r="21" spans="1:21" ht="15" customHeight="1">
      <c r="A21" t="str">
        <f t="shared" si="3"/>
        <v>Illinois</v>
      </c>
      <c r="B21" s="244" t="s">
        <v>800</v>
      </c>
      <c r="C21" s="231">
        <v>1154.754</v>
      </c>
      <c r="D21" s="232">
        <f t="shared" si="4"/>
        <v>0.0082</v>
      </c>
      <c r="E21" s="232">
        <f t="shared" si="5"/>
        <v>0.018</v>
      </c>
      <c r="G21" s="245">
        <f>C21*'Conversion Factors'!$D$28</f>
        <v>0.5236979591836733</v>
      </c>
      <c r="H21" s="246">
        <f>D21*'Conversion Factors'!$D$28</f>
        <v>3.7188208616780046E-06</v>
      </c>
      <c r="I21" s="247">
        <f>E21*'Conversion Factors'!$D$28</f>
        <v>8.163265306122448E-06</v>
      </c>
      <c r="J21" s="248"/>
      <c r="L21" s="299" t="s">
        <v>801</v>
      </c>
      <c r="M21" s="299" t="str">
        <f t="shared" si="6"/>
        <v>UT</v>
      </c>
      <c r="N21" s="305">
        <v>0.0134</v>
      </c>
      <c r="O21" s="305">
        <v>0.0308</v>
      </c>
      <c r="S21" s="299" t="s">
        <v>811</v>
      </c>
      <c r="T21" s="303" t="s">
        <v>795</v>
      </c>
      <c r="U21" s="299" t="str">
        <f t="shared" si="0"/>
        <v>Iowa</v>
      </c>
    </row>
    <row r="22" spans="1:21" ht="15" customHeight="1">
      <c r="A22" t="str">
        <f t="shared" si="3"/>
        <v>Indiana</v>
      </c>
      <c r="B22" s="244" t="s">
        <v>803</v>
      </c>
      <c r="C22" s="231">
        <v>2098.028</v>
      </c>
      <c r="D22" s="232">
        <f t="shared" si="4"/>
        <v>0.0143</v>
      </c>
      <c r="E22" s="232">
        <f t="shared" si="5"/>
        <v>0.0323</v>
      </c>
      <c r="G22" s="245">
        <f>C22*'Conversion Factors'!$D$28</f>
        <v>0.9514866213151926</v>
      </c>
      <c r="H22" s="246">
        <f>D22*'Conversion Factors'!$D$28</f>
        <v>6.485260770975056E-06</v>
      </c>
      <c r="I22" s="247">
        <f>E22*'Conversion Factors'!$D$28</f>
        <v>1.4648526077097506E-05</v>
      </c>
      <c r="J22" s="248"/>
      <c r="L22" s="299" t="s">
        <v>804</v>
      </c>
      <c r="M22" s="299" t="str">
        <f t="shared" si="6"/>
        <v>WY</v>
      </c>
      <c r="N22" s="305">
        <v>0.0147</v>
      </c>
      <c r="O22" s="305">
        <v>0.0338</v>
      </c>
      <c r="S22" s="299" t="s">
        <v>814</v>
      </c>
      <c r="T22" s="303" t="s">
        <v>806</v>
      </c>
      <c r="U22" s="299" t="str">
        <f t="shared" si="0"/>
        <v>Kansas</v>
      </c>
    </row>
    <row r="23" spans="1:21" ht="15" customHeight="1">
      <c r="A23" t="str">
        <f t="shared" si="3"/>
        <v>Kansas</v>
      </c>
      <c r="B23" s="244" t="s">
        <v>806</v>
      </c>
      <c r="C23" s="231">
        <v>1870.58</v>
      </c>
      <c r="D23" s="232">
        <f t="shared" si="4"/>
        <v>0.0112</v>
      </c>
      <c r="E23" s="232">
        <f t="shared" si="5"/>
        <v>0.0254</v>
      </c>
      <c r="G23" s="245">
        <f>C23*'Conversion Factors'!$D$28</f>
        <v>0.8483356009070294</v>
      </c>
      <c r="H23" s="246">
        <f>D23*'Conversion Factors'!$D$28</f>
        <v>5.079365079365079E-06</v>
      </c>
      <c r="I23" s="247">
        <f>E23*'Conversion Factors'!$D$28</f>
        <v>1.1519274376417233E-05</v>
      </c>
      <c r="J23" s="248"/>
      <c r="L23" s="300" t="s">
        <v>807</v>
      </c>
      <c r="N23" s="304">
        <v>0.0127</v>
      </c>
      <c r="O23" s="304">
        <v>0.0269</v>
      </c>
      <c r="S23" s="299" t="s">
        <v>817</v>
      </c>
      <c r="T23" s="303" t="s">
        <v>809</v>
      </c>
      <c r="U23" s="299" t="str">
        <f t="shared" si="0"/>
        <v>Kentucky</v>
      </c>
    </row>
    <row r="24" spans="1:21" ht="15" customHeight="1">
      <c r="A24" t="str">
        <f t="shared" si="3"/>
        <v>Kentucky</v>
      </c>
      <c r="B24" s="244" t="s">
        <v>809</v>
      </c>
      <c r="C24" s="231">
        <v>2051.055</v>
      </c>
      <c r="D24" s="232">
        <f t="shared" si="4"/>
        <v>0.014</v>
      </c>
      <c r="E24" s="232">
        <f t="shared" si="5"/>
        <v>0.0321</v>
      </c>
      <c r="G24" s="245">
        <f>C24*'Conversion Factors'!$D$28</f>
        <v>0.9301836734693876</v>
      </c>
      <c r="H24" s="246">
        <f>D24*'Conversion Factors'!$D$28</f>
        <v>6.349206349206349E-06</v>
      </c>
      <c r="I24" s="247">
        <f>E24*'Conversion Factors'!$D$28</f>
        <v>1.4557823129251698E-05</v>
      </c>
      <c r="J24" s="248"/>
      <c r="L24" s="299" t="s">
        <v>810</v>
      </c>
      <c r="M24" s="299" t="str">
        <f aca="true" t="shared" si="7" ref="M24:M30">VLOOKUP(L24,US_Abb,2,0)</f>
        <v>IA</v>
      </c>
      <c r="N24" s="305">
        <v>0.0138</v>
      </c>
      <c r="O24" s="305">
        <v>0.0298</v>
      </c>
      <c r="S24" s="299" t="s">
        <v>820</v>
      </c>
      <c r="T24" s="303" t="s">
        <v>812</v>
      </c>
      <c r="U24" s="299" t="str">
        <f t="shared" si="0"/>
        <v>Louisiana</v>
      </c>
    </row>
    <row r="25" spans="1:21" ht="15" customHeight="1">
      <c r="A25" t="str">
        <f t="shared" si="3"/>
        <v>Louisiana</v>
      </c>
      <c r="B25" s="244" t="s">
        <v>812</v>
      </c>
      <c r="C25" s="231">
        <v>1201.206</v>
      </c>
      <c r="D25" s="232">
        <f t="shared" si="4"/>
        <v>0.0094</v>
      </c>
      <c r="E25" s="232">
        <f t="shared" si="5"/>
        <v>0.0112</v>
      </c>
      <c r="G25" s="245">
        <f>C25*'Conversion Factors'!$D$28</f>
        <v>0.54476462585034</v>
      </c>
      <c r="H25" s="246">
        <f>D25*'Conversion Factors'!$D$28</f>
        <v>4.263038548752835E-06</v>
      </c>
      <c r="I25" s="247">
        <f>E25*'Conversion Factors'!$D$28</f>
        <v>5.079365079365079E-06</v>
      </c>
      <c r="J25" s="248"/>
      <c r="L25" s="299" t="s">
        <v>813</v>
      </c>
      <c r="M25" s="299" t="str">
        <f t="shared" si="7"/>
        <v>KS</v>
      </c>
      <c r="N25" s="305">
        <v>0.0112</v>
      </c>
      <c r="O25" s="305">
        <v>0.0254</v>
      </c>
      <c r="S25" s="299" t="s">
        <v>823</v>
      </c>
      <c r="T25" s="303" t="s">
        <v>821</v>
      </c>
      <c r="U25" s="299" t="str">
        <f t="shared" si="0"/>
        <v>Maine</v>
      </c>
    </row>
    <row r="26" spans="1:21" ht="15" customHeight="1">
      <c r="A26" t="str">
        <f t="shared" si="3"/>
        <v>Massachusetts</v>
      </c>
      <c r="B26" s="244" t="s">
        <v>815</v>
      </c>
      <c r="C26" s="231">
        <v>1226.147</v>
      </c>
      <c r="D26" s="232">
        <f t="shared" si="4"/>
        <v>0.0174</v>
      </c>
      <c r="E26" s="232">
        <f t="shared" si="5"/>
        <v>0.0159</v>
      </c>
      <c r="G26" s="245">
        <f>C26*'Conversion Factors'!$D$28</f>
        <v>0.5560757369614512</v>
      </c>
      <c r="H26" s="246">
        <f>D26*'Conversion Factors'!$D$28</f>
        <v>7.891156462585033E-06</v>
      </c>
      <c r="I26" s="247">
        <f>E26*'Conversion Factors'!$D$28</f>
        <v>7.210884353741496E-06</v>
      </c>
      <c r="J26" s="248"/>
      <c r="L26" s="299" t="s">
        <v>816</v>
      </c>
      <c r="M26" s="299" t="str">
        <f t="shared" si="7"/>
        <v>MN</v>
      </c>
      <c r="N26" s="305">
        <v>0.0157</v>
      </c>
      <c r="O26" s="305">
        <v>0.0247</v>
      </c>
      <c r="S26" s="299" t="s">
        <v>828</v>
      </c>
      <c r="T26" s="303" t="s">
        <v>818</v>
      </c>
      <c r="U26" s="299" t="str">
        <f t="shared" si="0"/>
        <v>Maryland</v>
      </c>
    </row>
    <row r="27" spans="1:21" ht="15" customHeight="1">
      <c r="A27" t="str">
        <f t="shared" si="3"/>
        <v>Maryland</v>
      </c>
      <c r="B27" s="244" t="s">
        <v>818</v>
      </c>
      <c r="C27" s="231">
        <v>1293.045</v>
      </c>
      <c r="D27" s="232">
        <f t="shared" si="4"/>
        <v>0.0118</v>
      </c>
      <c r="E27" s="232">
        <f t="shared" si="5"/>
        <v>0.0206</v>
      </c>
      <c r="G27" s="245">
        <f>C27*'Conversion Factors'!$D$28</f>
        <v>0.5864149659863945</v>
      </c>
      <c r="H27" s="246">
        <f>D27*'Conversion Factors'!$D$28</f>
        <v>5.351473922902494E-06</v>
      </c>
      <c r="I27" s="247">
        <f>E27*'Conversion Factors'!$D$28</f>
        <v>9.342403628117913E-06</v>
      </c>
      <c r="J27" s="248"/>
      <c r="L27" s="299" t="s">
        <v>819</v>
      </c>
      <c r="M27" s="299" t="str">
        <f t="shared" si="7"/>
        <v>MO</v>
      </c>
      <c r="N27" s="305">
        <v>0.0126</v>
      </c>
      <c r="O27" s="305">
        <v>0.0288</v>
      </c>
      <c r="S27" s="299" t="s">
        <v>831</v>
      </c>
      <c r="T27" s="303" t="s">
        <v>815</v>
      </c>
      <c r="U27" s="299" t="str">
        <f t="shared" si="0"/>
        <v>Massachusetts</v>
      </c>
    </row>
    <row r="28" spans="1:21" ht="15" customHeight="1">
      <c r="A28" t="str">
        <f t="shared" si="3"/>
        <v>Maine</v>
      </c>
      <c r="B28" s="244" t="s">
        <v>821</v>
      </c>
      <c r="C28" s="231">
        <v>771.833</v>
      </c>
      <c r="D28" s="232">
        <f t="shared" si="4"/>
        <v>0.0565</v>
      </c>
      <c r="E28" s="232">
        <f t="shared" si="5"/>
        <v>0.027</v>
      </c>
      <c r="G28" s="245">
        <f>C28*'Conversion Factors'!$D$28</f>
        <v>0.350037641723356</v>
      </c>
      <c r="H28" s="246">
        <f>D28*'Conversion Factors'!$D$28</f>
        <v>2.5623582766439908E-05</v>
      </c>
      <c r="I28" s="247">
        <f>E28*'Conversion Factors'!$D$28</f>
        <v>1.2244897959183673E-05</v>
      </c>
      <c r="J28" s="248"/>
      <c r="L28" s="299" t="s">
        <v>822</v>
      </c>
      <c r="M28" s="299" t="str">
        <f t="shared" si="7"/>
        <v>NE</v>
      </c>
      <c r="N28" s="305">
        <v>0.0095</v>
      </c>
      <c r="O28" s="305">
        <v>0.0219</v>
      </c>
      <c r="S28" s="299" t="s">
        <v>834</v>
      </c>
      <c r="T28" s="303" t="s">
        <v>824</v>
      </c>
      <c r="U28" s="299" t="str">
        <f t="shared" si="0"/>
        <v>Michigan</v>
      </c>
    </row>
    <row r="29" spans="1:21" ht="30">
      <c r="A29" t="str">
        <f t="shared" si="3"/>
        <v>Michigan</v>
      </c>
      <c r="B29" s="244" t="s">
        <v>824</v>
      </c>
      <c r="C29" s="231">
        <v>1412.673</v>
      </c>
      <c r="D29" s="232">
        <f t="shared" si="4"/>
        <v>0.0146</v>
      </c>
      <c r="E29" s="232">
        <f t="shared" si="5"/>
        <v>0.025</v>
      </c>
      <c r="G29" s="245">
        <f>C29*'Conversion Factors'!$D$28</f>
        <v>0.6406680272108843</v>
      </c>
      <c r="H29" s="246">
        <f>D29*'Conversion Factors'!$D$28</f>
        <v>6.621315192743764E-06</v>
      </c>
      <c r="I29" s="247">
        <f>E29*'Conversion Factors'!$D$28</f>
        <v>1.1337868480725624E-05</v>
      </c>
      <c r="J29" s="248"/>
      <c r="L29" s="299" t="s">
        <v>825</v>
      </c>
      <c r="M29" s="299" t="str">
        <f t="shared" si="7"/>
        <v>ND</v>
      </c>
      <c r="N29" s="305">
        <v>0.0147</v>
      </c>
      <c r="O29" s="305">
        <v>0.0339</v>
      </c>
      <c r="S29" s="299" t="s">
        <v>837</v>
      </c>
      <c r="T29" s="303" t="s">
        <v>826</v>
      </c>
      <c r="U29" s="299" t="str">
        <f t="shared" si="0"/>
        <v>Minnesota</v>
      </c>
    </row>
    <row r="30" spans="1:21" ht="15" customHeight="1">
      <c r="A30" t="str">
        <f t="shared" si="3"/>
        <v>Minnesota</v>
      </c>
      <c r="B30" s="244" t="s">
        <v>826</v>
      </c>
      <c r="C30" s="231">
        <v>1587.518</v>
      </c>
      <c r="D30" s="232">
        <f t="shared" si="4"/>
        <v>0.0157</v>
      </c>
      <c r="E30" s="232">
        <f t="shared" si="5"/>
        <v>0.0247</v>
      </c>
      <c r="G30" s="245">
        <f>C30*'Conversion Factors'!$D$28</f>
        <v>0.7199628117913832</v>
      </c>
      <c r="H30" s="246">
        <f>D30*'Conversion Factors'!$D$28</f>
        <v>7.12018140589569E-06</v>
      </c>
      <c r="I30" s="247">
        <f>E30*'Conversion Factors'!$D$28</f>
        <v>1.1201814058956915E-05</v>
      </c>
      <c r="J30" s="248"/>
      <c r="L30" s="299" t="s">
        <v>827</v>
      </c>
      <c r="M30" s="299" t="str">
        <f t="shared" si="7"/>
        <v>SD</v>
      </c>
      <c r="N30" s="305">
        <v>0.0053</v>
      </c>
      <c r="O30" s="305">
        <v>0.0121</v>
      </c>
      <c r="S30" s="299" t="s">
        <v>840</v>
      </c>
      <c r="T30" s="303" t="s">
        <v>832</v>
      </c>
      <c r="U30" s="299" t="str">
        <f t="shared" si="0"/>
        <v>Mississippi</v>
      </c>
    </row>
    <row r="31" spans="1:21" ht="15" customHeight="1">
      <c r="A31" t="str">
        <f t="shared" si="3"/>
        <v>Missouri</v>
      </c>
      <c r="B31" s="244" t="s">
        <v>829</v>
      </c>
      <c r="C31" s="231">
        <v>1881.391</v>
      </c>
      <c r="D31" s="232">
        <f t="shared" si="4"/>
        <v>0.0126</v>
      </c>
      <c r="E31" s="232">
        <f t="shared" si="5"/>
        <v>0.0288</v>
      </c>
      <c r="G31" s="245">
        <f>C31*'Conversion Factors'!$D$28</f>
        <v>0.8532385487528344</v>
      </c>
      <c r="H31" s="246">
        <f>D31*'Conversion Factors'!$D$28</f>
        <v>5.714285714285714E-06</v>
      </c>
      <c r="I31" s="247">
        <f>E31*'Conversion Factors'!$D$28</f>
        <v>1.3061224489795918E-05</v>
      </c>
      <c r="J31" s="248"/>
      <c r="L31" s="300" t="s">
        <v>830</v>
      </c>
      <c r="N31" s="304">
        <v>0.0087</v>
      </c>
      <c r="O31" s="304">
        <v>0.0153</v>
      </c>
      <c r="S31" s="299" t="s">
        <v>843</v>
      </c>
      <c r="T31" s="303" t="s">
        <v>829</v>
      </c>
      <c r="U31" s="299" t="str">
        <f t="shared" si="0"/>
        <v>Missouri</v>
      </c>
    </row>
    <row r="32" spans="1:21" ht="15" customHeight="1">
      <c r="A32" t="str">
        <f t="shared" si="3"/>
        <v>Mississippi</v>
      </c>
      <c r="B32" s="244" t="s">
        <v>832</v>
      </c>
      <c r="C32" s="231">
        <v>1408.978</v>
      </c>
      <c r="D32" s="232">
        <f t="shared" si="4"/>
        <v>0.0132</v>
      </c>
      <c r="E32" s="232">
        <f t="shared" si="5"/>
        <v>0.0165</v>
      </c>
      <c r="G32" s="245">
        <f>C32*'Conversion Factors'!$D$28</f>
        <v>0.638992290249433</v>
      </c>
      <c r="H32" s="246">
        <f>D32*'Conversion Factors'!$D$28</f>
        <v>5.9863945578231284E-06</v>
      </c>
      <c r="I32" s="247">
        <f>E32*'Conversion Factors'!$D$28</f>
        <v>7.482993197278912E-06</v>
      </c>
      <c r="J32" s="248"/>
      <c r="L32" s="299" t="s">
        <v>833</v>
      </c>
      <c r="M32" s="299" t="str">
        <f>VLOOKUP(L32,US_Abb,2,0)</f>
        <v>AR</v>
      </c>
      <c r="N32" s="305">
        <v>0.0125</v>
      </c>
      <c r="O32" s="305">
        <v>0.0203</v>
      </c>
      <c r="S32" s="299" t="s">
        <v>846</v>
      </c>
      <c r="T32" s="303" t="s">
        <v>835</v>
      </c>
      <c r="U32" s="299" t="str">
        <f t="shared" si="0"/>
        <v>Montana</v>
      </c>
    </row>
    <row r="33" spans="1:21" ht="15" customHeight="1">
      <c r="A33" t="str">
        <f t="shared" si="3"/>
        <v>Montana</v>
      </c>
      <c r="B33" s="244" t="s">
        <v>835</v>
      </c>
      <c r="C33" s="231">
        <v>1572.928</v>
      </c>
      <c r="D33" s="232">
        <f t="shared" si="4"/>
        <v>0.0108</v>
      </c>
      <c r="E33" s="232">
        <f t="shared" si="5"/>
        <v>0.0227</v>
      </c>
      <c r="G33" s="245">
        <f>C33*'Conversion Factors'!$D$28</f>
        <v>0.7133460317460317</v>
      </c>
      <c r="H33" s="246">
        <f>D33*'Conversion Factors'!$D$28</f>
        <v>4.897959183673469E-06</v>
      </c>
      <c r="I33" s="247">
        <f>E33*'Conversion Factors'!$D$28</f>
        <v>1.0294784580498866E-05</v>
      </c>
      <c r="J33" s="248"/>
      <c r="L33" s="299" t="s">
        <v>836</v>
      </c>
      <c r="M33" s="299" t="str">
        <f>VLOOKUP(L33,US_Abb,2,0)</f>
        <v>LA</v>
      </c>
      <c r="N33" s="305">
        <v>0.0094</v>
      </c>
      <c r="O33" s="305">
        <v>0.0112</v>
      </c>
      <c r="S33" s="299" t="s">
        <v>849</v>
      </c>
      <c r="T33" s="303" t="s">
        <v>844</v>
      </c>
      <c r="U33" s="299" t="str">
        <f t="shared" si="0"/>
        <v>Nebraska</v>
      </c>
    </row>
    <row r="34" spans="1:21" ht="15" customHeight="1">
      <c r="A34" t="str">
        <f t="shared" si="3"/>
        <v>North Carolina</v>
      </c>
      <c r="B34" s="244" t="s">
        <v>838</v>
      </c>
      <c r="C34" s="231">
        <v>1217.818</v>
      </c>
      <c r="D34" s="232">
        <f t="shared" si="4"/>
        <v>0.0105</v>
      </c>
      <c r="E34" s="232">
        <f t="shared" si="5"/>
        <v>0.0203</v>
      </c>
      <c r="G34" s="245">
        <f>C34*'Conversion Factors'!$D$28</f>
        <v>0.5522984126984126</v>
      </c>
      <c r="H34" s="246">
        <f>D34*'Conversion Factors'!$D$28</f>
        <v>4.7619047619047615E-06</v>
      </c>
      <c r="I34" s="247">
        <f>E34*'Conversion Factors'!$D$28</f>
        <v>9.206349206349206E-06</v>
      </c>
      <c r="J34" s="248"/>
      <c r="L34" s="299" t="s">
        <v>839</v>
      </c>
      <c r="M34" s="299" t="str">
        <f>VLOOKUP(L34,US_Abb,2,0)</f>
        <v>OK</v>
      </c>
      <c r="N34" s="305">
        <v>0.011</v>
      </c>
      <c r="O34" s="305">
        <v>0.0223</v>
      </c>
      <c r="S34" s="299" t="s">
        <v>852</v>
      </c>
      <c r="T34" s="303" t="s">
        <v>853</v>
      </c>
      <c r="U34" s="299" t="str">
        <f t="shared" si="0"/>
        <v>Nevada</v>
      </c>
    </row>
    <row r="35" spans="1:21" ht="15" customHeight="1">
      <c r="A35" t="str">
        <f t="shared" si="3"/>
        <v>North Dakota</v>
      </c>
      <c r="B35" s="244" t="s">
        <v>841</v>
      </c>
      <c r="C35" s="231">
        <v>2386.309</v>
      </c>
      <c r="D35" s="232">
        <f t="shared" si="4"/>
        <v>0.0147</v>
      </c>
      <c r="E35" s="232">
        <f t="shared" si="5"/>
        <v>0.0339</v>
      </c>
      <c r="G35" s="245">
        <f>C35*'Conversion Factors'!$D$28</f>
        <v>1.0822263038548754</v>
      </c>
      <c r="H35" s="246">
        <f>D35*'Conversion Factors'!$D$28</f>
        <v>6.666666666666666E-06</v>
      </c>
      <c r="I35" s="247">
        <f>E35*'Conversion Factors'!$D$28</f>
        <v>1.5374149659863945E-05</v>
      </c>
      <c r="J35" s="248"/>
      <c r="L35" s="299" t="s">
        <v>842</v>
      </c>
      <c r="M35" s="299" t="str">
        <f>VLOOKUP(L35,US_Abb,2,0)</f>
        <v>TX</v>
      </c>
      <c r="N35" s="305">
        <v>0.0077</v>
      </c>
      <c r="O35" s="305">
        <v>0.0146</v>
      </c>
      <c r="S35" s="299" t="s">
        <v>856</v>
      </c>
      <c r="T35" s="303" t="s">
        <v>847</v>
      </c>
      <c r="U35" s="299" t="str">
        <f t="shared" si="0"/>
        <v>New Hampshire</v>
      </c>
    </row>
    <row r="36" spans="1:21" ht="15" customHeight="1">
      <c r="A36" t="str">
        <f t="shared" si="3"/>
        <v>Nebraska</v>
      </c>
      <c r="B36" s="244" t="s">
        <v>844</v>
      </c>
      <c r="C36" s="231">
        <v>1503.084</v>
      </c>
      <c r="D36" s="232">
        <f t="shared" si="4"/>
        <v>0.0095</v>
      </c>
      <c r="E36" s="232">
        <f t="shared" si="5"/>
        <v>0.0219</v>
      </c>
      <c r="G36" s="245">
        <f>C36*'Conversion Factors'!$D$28</f>
        <v>0.6816707482993197</v>
      </c>
      <c r="H36" s="246">
        <f>D36*'Conversion Factors'!$D$28</f>
        <v>4.308390022675736E-06</v>
      </c>
      <c r="I36" s="247">
        <f>E36*'Conversion Factors'!$D$28</f>
        <v>9.931972789115646E-06</v>
      </c>
      <c r="J36" s="248"/>
      <c r="L36" s="300" t="s">
        <v>845</v>
      </c>
      <c r="N36" s="304">
        <v>0.0123</v>
      </c>
      <c r="O36" s="304">
        <v>0.0257</v>
      </c>
      <c r="S36" s="299" t="s">
        <v>858</v>
      </c>
      <c r="T36" s="303" t="s">
        <v>850</v>
      </c>
      <c r="U36" s="299" t="str">
        <f t="shared" si="0"/>
        <v>New Jersey</v>
      </c>
    </row>
    <row r="37" spans="1:21" ht="15" customHeight="1">
      <c r="A37" t="str">
        <f t="shared" si="3"/>
        <v>New Hampshire</v>
      </c>
      <c r="B37" s="244" t="s">
        <v>847</v>
      </c>
      <c r="C37" s="231">
        <v>779.267</v>
      </c>
      <c r="D37" s="232">
        <f t="shared" si="4"/>
        <v>0.0172</v>
      </c>
      <c r="E37" s="232">
        <f t="shared" si="5"/>
        <v>0.0141</v>
      </c>
      <c r="G37" s="245">
        <f>C37*'Conversion Factors'!$D$28</f>
        <v>0.3534090702947846</v>
      </c>
      <c r="H37" s="246">
        <f>D37*'Conversion Factors'!$D$28</f>
        <v>7.80045351473923E-06</v>
      </c>
      <c r="I37" s="247">
        <f>E37*'Conversion Factors'!$D$28</f>
        <v>6.394557823129251E-06</v>
      </c>
      <c r="J37" s="248"/>
      <c r="L37" s="299" t="s">
        <v>848</v>
      </c>
      <c r="M37" s="299" t="str">
        <f>VLOOKUP(L37,US_Abb,2,0)</f>
        <v>IL</v>
      </c>
      <c r="N37" s="305">
        <v>0.0082</v>
      </c>
      <c r="O37" s="305">
        <v>0.018</v>
      </c>
      <c r="S37" s="299" t="s">
        <v>861</v>
      </c>
      <c r="T37" s="303" t="s">
        <v>854</v>
      </c>
      <c r="U37" s="299" t="str">
        <f t="shared" si="0"/>
        <v>New Mexico</v>
      </c>
    </row>
    <row r="38" spans="1:21" ht="15" customHeight="1">
      <c r="A38" t="str">
        <f t="shared" si="3"/>
        <v>New Jersey</v>
      </c>
      <c r="B38" s="244" t="s">
        <v>850</v>
      </c>
      <c r="C38" s="231">
        <v>712.79</v>
      </c>
      <c r="D38" s="232">
        <f t="shared" si="4"/>
        <v>0.0077</v>
      </c>
      <c r="E38" s="232">
        <f t="shared" si="5"/>
        <v>0.0079</v>
      </c>
      <c r="G38" s="245">
        <f>C38*'Conversion Factors'!$D$28</f>
        <v>0.3232607709750567</v>
      </c>
      <c r="H38" s="246">
        <f>D38*'Conversion Factors'!$D$28</f>
        <v>3.492063492063492E-06</v>
      </c>
      <c r="I38" s="247">
        <f>E38*'Conversion Factors'!$D$28</f>
        <v>3.5827664399092972E-06</v>
      </c>
      <c r="J38" s="248"/>
      <c r="L38" s="299" t="s">
        <v>851</v>
      </c>
      <c r="M38" s="299" t="str">
        <f>VLOOKUP(L38,US_Abb,2,0)</f>
        <v>IN</v>
      </c>
      <c r="N38" s="305">
        <v>0.0143</v>
      </c>
      <c r="O38" s="305">
        <v>0.0323</v>
      </c>
      <c r="S38" s="299" t="s">
        <v>864</v>
      </c>
      <c r="T38" s="303" t="s">
        <v>859</v>
      </c>
      <c r="U38" s="299" t="str">
        <f aca="true" t="shared" si="8" ref="U38:U58">PROPER(S38)</f>
        <v>New York</v>
      </c>
    </row>
    <row r="39" spans="1:21" ht="15" customHeight="1">
      <c r="A39" t="str">
        <f t="shared" si="3"/>
        <v>New Mexico</v>
      </c>
      <c r="B39" s="244" t="s">
        <v>854</v>
      </c>
      <c r="C39" s="231">
        <v>1991.983</v>
      </c>
      <c r="D39" s="232">
        <f t="shared" si="4"/>
        <v>0.0131</v>
      </c>
      <c r="E39" s="232">
        <f t="shared" si="5"/>
        <v>0.0296</v>
      </c>
      <c r="G39" s="245">
        <f>C39*'Conversion Factors'!$D$28</f>
        <v>0.9033936507936507</v>
      </c>
      <c r="H39" s="246">
        <f>D39*'Conversion Factors'!$D$28</f>
        <v>5.941043083900227E-06</v>
      </c>
      <c r="I39" s="247">
        <f>E39*'Conversion Factors'!$D$28</f>
        <v>1.3424036281179139E-05</v>
      </c>
      <c r="J39" s="248"/>
      <c r="L39" s="299" t="s">
        <v>855</v>
      </c>
      <c r="M39" s="299" t="str">
        <f>VLOOKUP(L39,US_Abb,2,0)</f>
        <v>MI</v>
      </c>
      <c r="N39" s="305">
        <v>0.0146</v>
      </c>
      <c r="O39" s="305">
        <v>0.025</v>
      </c>
      <c r="S39" s="299" t="s">
        <v>867</v>
      </c>
      <c r="T39" s="303" t="s">
        <v>838</v>
      </c>
      <c r="U39" s="299" t="str">
        <f t="shared" si="8"/>
        <v>North Carolina</v>
      </c>
    </row>
    <row r="40" spans="1:21" ht="15" customHeight="1">
      <c r="A40" t="str">
        <f t="shared" si="3"/>
        <v>Nevada</v>
      </c>
      <c r="B40" s="244" t="s">
        <v>853</v>
      </c>
      <c r="C40" s="231">
        <v>1572.724</v>
      </c>
      <c r="D40" s="232">
        <f t="shared" si="4"/>
        <v>0.009</v>
      </c>
      <c r="E40" s="232">
        <f t="shared" si="5"/>
        <v>0.0195</v>
      </c>
      <c r="G40" s="245">
        <f>C40*'Conversion Factors'!$D$28</f>
        <v>0.7132535147392289</v>
      </c>
      <c r="H40" s="246">
        <f>D40*'Conversion Factors'!$D$28</f>
        <v>4.081632653061224E-06</v>
      </c>
      <c r="I40" s="247">
        <f>E40*'Conversion Factors'!$D$28</f>
        <v>8.843537414965987E-06</v>
      </c>
      <c r="J40" s="248"/>
      <c r="L40" s="299" t="s">
        <v>857</v>
      </c>
      <c r="M40" s="299" t="str">
        <f>VLOOKUP(L40,US_Abb,2,0)</f>
        <v>OH</v>
      </c>
      <c r="N40" s="305">
        <v>0.013</v>
      </c>
      <c r="O40" s="305">
        <v>0.0288</v>
      </c>
      <c r="S40" s="299" t="s">
        <v>869</v>
      </c>
      <c r="T40" s="303" t="s">
        <v>841</v>
      </c>
      <c r="U40" s="299" t="str">
        <f t="shared" si="8"/>
        <v>North Dakota</v>
      </c>
    </row>
    <row r="41" spans="1:21" ht="15" customHeight="1">
      <c r="A41" t="str">
        <f t="shared" si="3"/>
        <v>New York</v>
      </c>
      <c r="B41" s="244" t="s">
        <v>859</v>
      </c>
      <c r="C41" s="231">
        <v>907.159</v>
      </c>
      <c r="D41" s="232">
        <f t="shared" si="4"/>
        <v>0.0081</v>
      </c>
      <c r="E41" s="232">
        <f t="shared" si="5"/>
        <v>0.0089</v>
      </c>
      <c r="G41" s="245">
        <f>C41*'Conversion Factors'!$D$28</f>
        <v>0.411409977324263</v>
      </c>
      <c r="H41" s="246">
        <f>D41*'Conversion Factors'!$D$28</f>
        <v>3.6734693877551016E-06</v>
      </c>
      <c r="I41" s="247">
        <f>E41*'Conversion Factors'!$D$28</f>
        <v>4.0362811791383216E-06</v>
      </c>
      <c r="J41" s="248"/>
      <c r="L41" s="299" t="s">
        <v>860</v>
      </c>
      <c r="M41" s="299" t="str">
        <f>VLOOKUP(L41,US_Abb,2,0)</f>
        <v>WI</v>
      </c>
      <c r="N41" s="305">
        <v>0.0138</v>
      </c>
      <c r="O41" s="305">
        <v>0.026</v>
      </c>
      <c r="S41" s="299" t="s">
        <v>874</v>
      </c>
      <c r="T41" s="303" t="s">
        <v>862</v>
      </c>
      <c r="U41" s="299" t="str">
        <f t="shared" si="8"/>
        <v>Ohio</v>
      </c>
    </row>
    <row r="42" spans="1:21" ht="15" customHeight="1">
      <c r="A42" t="str">
        <f t="shared" si="3"/>
        <v>Ohio</v>
      </c>
      <c r="B42" s="244" t="s">
        <v>862</v>
      </c>
      <c r="C42" s="231">
        <v>1778.971</v>
      </c>
      <c r="D42" s="232">
        <f t="shared" si="4"/>
        <v>0.013</v>
      </c>
      <c r="E42" s="232">
        <f t="shared" si="5"/>
        <v>0.0288</v>
      </c>
      <c r="G42" s="245">
        <f>C42*'Conversion Factors'!$D$28</f>
        <v>0.8067895691609976</v>
      </c>
      <c r="H42" s="246">
        <f>D42*'Conversion Factors'!$D$28</f>
        <v>5.895691609977323E-06</v>
      </c>
      <c r="I42" s="247">
        <f>E42*'Conversion Factors'!$D$28</f>
        <v>1.3061224489795918E-05</v>
      </c>
      <c r="J42" s="248"/>
      <c r="L42" s="300" t="s">
        <v>863</v>
      </c>
      <c r="N42" s="304">
        <v>0.0128</v>
      </c>
      <c r="O42" s="304">
        <v>0.024</v>
      </c>
      <c r="S42" s="299" t="s">
        <v>877</v>
      </c>
      <c r="T42" s="303" t="s">
        <v>865</v>
      </c>
      <c r="U42" s="299" t="str">
        <f t="shared" si="8"/>
        <v>Oklahoma</v>
      </c>
    </row>
    <row r="43" spans="1:21" ht="30">
      <c r="A43" t="str">
        <f t="shared" si="3"/>
        <v>Oklahoma</v>
      </c>
      <c r="B43" s="244" t="s">
        <v>865</v>
      </c>
      <c r="C43" s="231">
        <v>1726.042</v>
      </c>
      <c r="D43" s="232">
        <f t="shared" si="4"/>
        <v>0.011</v>
      </c>
      <c r="E43" s="232">
        <f t="shared" si="5"/>
        <v>0.0223</v>
      </c>
      <c r="G43" s="245">
        <f>C43*'Conversion Factors'!$D$28</f>
        <v>0.7827854875283445</v>
      </c>
      <c r="H43" s="246">
        <f>D43*'Conversion Factors'!$D$28</f>
        <v>4.988662131519274E-06</v>
      </c>
      <c r="I43" s="247">
        <f>E43*'Conversion Factors'!$D$28</f>
        <v>1.0113378684807256E-05</v>
      </c>
      <c r="J43" s="248"/>
      <c r="L43" s="299" t="s">
        <v>866</v>
      </c>
      <c r="M43" s="299" t="str">
        <f>VLOOKUP(L43,US_Abb,2,0)</f>
        <v>AL</v>
      </c>
      <c r="N43" s="305">
        <v>0.0137</v>
      </c>
      <c r="O43" s="305">
        <v>0.0223</v>
      </c>
      <c r="S43" s="299" t="s">
        <v>880</v>
      </c>
      <c r="T43" s="303" t="s">
        <v>708</v>
      </c>
      <c r="U43" s="299" t="str">
        <f t="shared" si="8"/>
        <v>Oregon</v>
      </c>
    </row>
    <row r="44" spans="1:21" ht="15" customHeight="1">
      <c r="A44" t="str">
        <f t="shared" si="3"/>
        <v>Oregon</v>
      </c>
      <c r="B44" s="244" t="s">
        <v>708</v>
      </c>
      <c r="C44" s="231">
        <v>455.79</v>
      </c>
      <c r="D44" s="232">
        <f t="shared" si="4"/>
        <v>0.0033</v>
      </c>
      <c r="E44" s="232">
        <f t="shared" si="5"/>
        <v>0.0034</v>
      </c>
      <c r="G44" s="245">
        <f>C44*'Conversion Factors'!$D$28</f>
        <v>0.20670748299319727</v>
      </c>
      <c r="H44" s="246">
        <f>D44*'Conversion Factors'!$D$28</f>
        <v>1.4965986394557821E-06</v>
      </c>
      <c r="I44" s="247">
        <f>E44*'Conversion Factors'!$D$28</f>
        <v>1.5419501133786847E-06</v>
      </c>
      <c r="J44" s="248"/>
      <c r="L44" s="299" t="s">
        <v>868</v>
      </c>
      <c r="M44" s="299" t="str">
        <f>VLOOKUP(L44,US_Abb,2,0)</f>
        <v>KY</v>
      </c>
      <c r="N44" s="305">
        <v>0.014</v>
      </c>
      <c r="O44" s="305">
        <v>0.0321</v>
      </c>
      <c r="S44" s="299" t="s">
        <v>883</v>
      </c>
      <c r="T44" s="303" t="s">
        <v>884</v>
      </c>
      <c r="U44" s="299" t="str">
        <f t="shared" si="8"/>
        <v>Palau</v>
      </c>
    </row>
    <row r="45" spans="1:21" ht="30">
      <c r="A45" t="str">
        <f t="shared" si="3"/>
        <v>Pennsylvania</v>
      </c>
      <c r="B45" s="244" t="s">
        <v>870</v>
      </c>
      <c r="C45" s="231">
        <v>1216.211</v>
      </c>
      <c r="D45" s="232">
        <f t="shared" si="4"/>
        <v>0.0107</v>
      </c>
      <c r="E45" s="232">
        <f t="shared" si="5"/>
        <v>0.0203</v>
      </c>
      <c r="G45" s="245">
        <f>C45*'Conversion Factors'!$D$28</f>
        <v>0.5515696145124717</v>
      </c>
      <c r="H45" s="246">
        <f>D45*'Conversion Factors'!$D$28</f>
        <v>4.852607709750566E-06</v>
      </c>
      <c r="I45" s="247">
        <f>E45*'Conversion Factors'!$D$28</f>
        <v>9.206349206349206E-06</v>
      </c>
      <c r="J45" s="248"/>
      <c r="L45" s="299" t="s">
        <v>871</v>
      </c>
      <c r="M45" s="299" t="str">
        <f>VLOOKUP(L45,US_Abb,2,0)</f>
        <v>MS</v>
      </c>
      <c r="N45" s="305">
        <v>0.0132</v>
      </c>
      <c r="O45" s="305">
        <v>0.0165</v>
      </c>
      <c r="S45" s="299" t="s">
        <v>887</v>
      </c>
      <c r="T45" s="303" t="s">
        <v>870</v>
      </c>
      <c r="U45" s="299" t="str">
        <f t="shared" si="8"/>
        <v>Pennsylvania</v>
      </c>
    </row>
    <row r="46" spans="1:21" ht="15" customHeight="1">
      <c r="A46" t="str">
        <f t="shared" si="3"/>
        <v>Rhode Island</v>
      </c>
      <c r="B46" s="244" t="s">
        <v>872</v>
      </c>
      <c r="C46" s="231">
        <v>1070.996</v>
      </c>
      <c r="D46" s="232">
        <f t="shared" si="4"/>
        <v>0.0068</v>
      </c>
      <c r="E46" s="232">
        <f t="shared" si="5"/>
        <v>0.0047</v>
      </c>
      <c r="G46" s="245">
        <f>C46*'Conversion Factors'!$D$28</f>
        <v>0.4857124716553288</v>
      </c>
      <c r="H46" s="246">
        <f>D46*'Conversion Factors'!$D$28</f>
        <v>3.0839002267573694E-06</v>
      </c>
      <c r="I46" s="247">
        <f>E46*'Conversion Factors'!$D$28</f>
        <v>2.1315192743764173E-06</v>
      </c>
      <c r="J46" s="248"/>
      <c r="L46" s="299" t="s">
        <v>873</v>
      </c>
      <c r="M46" s="299" t="str">
        <f>VLOOKUP(L46,US_Abb,2,0)</f>
        <v>TN</v>
      </c>
      <c r="N46" s="305">
        <v>0.0105</v>
      </c>
      <c r="O46" s="305">
        <v>0.0212</v>
      </c>
      <c r="S46" s="299" t="s">
        <v>890</v>
      </c>
      <c r="T46" s="303" t="s">
        <v>891</v>
      </c>
      <c r="U46" s="299" t="str">
        <f t="shared" si="8"/>
        <v>Puerto Rico</v>
      </c>
    </row>
    <row r="47" spans="1:21" ht="15" customHeight="1">
      <c r="A47" t="str">
        <f t="shared" si="3"/>
        <v>South Carolina</v>
      </c>
      <c r="B47" s="244" t="s">
        <v>875</v>
      </c>
      <c r="C47" s="231">
        <v>914.816</v>
      </c>
      <c r="D47" s="232">
        <f t="shared" si="4"/>
        <v>0.0091</v>
      </c>
      <c r="E47" s="232">
        <f t="shared" si="5"/>
        <v>0.0145</v>
      </c>
      <c r="G47" s="245">
        <f>C47*'Conversion Factors'!$D$28</f>
        <v>0.4148825396825397</v>
      </c>
      <c r="H47" s="246">
        <f>D47*'Conversion Factors'!$D$28</f>
        <v>4.126984126984127E-06</v>
      </c>
      <c r="I47" s="247">
        <f>E47*'Conversion Factors'!$D$28</f>
        <v>6.5759637188208614E-06</v>
      </c>
      <c r="J47" s="248"/>
      <c r="L47" s="300" t="s">
        <v>876</v>
      </c>
      <c r="N47" s="304">
        <v>0.0207</v>
      </c>
      <c r="O47" s="304">
        <v>0.0146</v>
      </c>
      <c r="S47" s="299" t="s">
        <v>894</v>
      </c>
      <c r="T47" s="303" t="s">
        <v>872</v>
      </c>
      <c r="U47" s="299" t="str">
        <f t="shared" si="8"/>
        <v>Rhode Island</v>
      </c>
    </row>
    <row r="48" spans="1:21" ht="15" customHeight="1">
      <c r="A48" t="str">
        <f t="shared" si="3"/>
        <v>South Dakota</v>
      </c>
      <c r="B48" s="244" t="s">
        <v>878</v>
      </c>
      <c r="C48" s="231">
        <v>1215.369</v>
      </c>
      <c r="D48" s="232">
        <f t="shared" si="4"/>
        <v>0.0053</v>
      </c>
      <c r="E48" s="232">
        <f t="shared" si="5"/>
        <v>0.0121</v>
      </c>
      <c r="G48" s="245">
        <f>C48*'Conversion Factors'!$D$28</f>
        <v>0.5511877551020408</v>
      </c>
      <c r="H48" s="246">
        <f>D48*'Conversion Factors'!$D$28</f>
        <v>2.403628117913832E-06</v>
      </c>
      <c r="I48" s="247">
        <f>E48*'Conversion Factors'!$D$28</f>
        <v>5.4875283446712015E-06</v>
      </c>
      <c r="J48" s="248"/>
      <c r="L48" s="299" t="s">
        <v>879</v>
      </c>
      <c r="M48" s="299" t="str">
        <f aca="true" t="shared" si="9" ref="M48:M53">VLOOKUP(L48,US_Abb,2,0)</f>
        <v>CT</v>
      </c>
      <c r="N48" s="305">
        <v>0.0174</v>
      </c>
      <c r="O48" s="305">
        <v>0.012</v>
      </c>
      <c r="S48" s="299" t="s">
        <v>897</v>
      </c>
      <c r="T48" s="303" t="s">
        <v>875</v>
      </c>
      <c r="U48" s="299" t="str">
        <f t="shared" si="8"/>
        <v>South Carolina</v>
      </c>
    </row>
    <row r="49" spans="1:21" ht="15" customHeight="1">
      <c r="A49" t="str">
        <f t="shared" si="3"/>
        <v>Tennessee</v>
      </c>
      <c r="B49" s="244" t="s">
        <v>881</v>
      </c>
      <c r="C49" s="231">
        <v>1266.009</v>
      </c>
      <c r="D49" s="232">
        <f t="shared" si="4"/>
        <v>0.0105</v>
      </c>
      <c r="E49" s="232">
        <f t="shared" si="5"/>
        <v>0.0212</v>
      </c>
      <c r="G49" s="245">
        <f>C49*'Conversion Factors'!$D$28</f>
        <v>0.5741537414965986</v>
      </c>
      <c r="H49" s="246">
        <f>D49*'Conversion Factors'!$D$28</f>
        <v>4.7619047619047615E-06</v>
      </c>
      <c r="I49" s="247">
        <f>E49*'Conversion Factors'!$D$28</f>
        <v>9.614512471655328E-06</v>
      </c>
      <c r="J49" s="248"/>
      <c r="L49" s="299" t="s">
        <v>882</v>
      </c>
      <c r="M49" s="299" t="str">
        <f t="shared" si="9"/>
        <v>ME</v>
      </c>
      <c r="N49" s="305">
        <v>0.0565</v>
      </c>
      <c r="O49" s="305">
        <v>0.027</v>
      </c>
      <c r="S49" s="299" t="s">
        <v>900</v>
      </c>
      <c r="T49" s="303" t="s">
        <v>878</v>
      </c>
      <c r="U49" s="299" t="str">
        <f t="shared" si="8"/>
        <v>South Dakota</v>
      </c>
    </row>
    <row r="50" spans="1:21" ht="15" customHeight="1">
      <c r="A50" t="str">
        <f t="shared" si="3"/>
        <v>Texas</v>
      </c>
      <c r="B50" s="244" t="s">
        <v>885</v>
      </c>
      <c r="C50" s="231">
        <v>1471.637</v>
      </c>
      <c r="D50" s="232">
        <f t="shared" si="4"/>
        <v>0.0077</v>
      </c>
      <c r="E50" s="232">
        <f t="shared" si="5"/>
        <v>0.0146</v>
      </c>
      <c r="G50" s="245">
        <f>C50*'Conversion Factors'!$D$28</f>
        <v>0.6674090702947845</v>
      </c>
      <c r="H50" s="246">
        <f>D50*'Conversion Factors'!$D$28</f>
        <v>3.492063492063492E-06</v>
      </c>
      <c r="I50" s="247">
        <f>E50*'Conversion Factors'!$D$28</f>
        <v>6.621315192743764E-06</v>
      </c>
      <c r="J50" s="248"/>
      <c r="L50" s="299" t="s">
        <v>886</v>
      </c>
      <c r="M50" s="299" t="str">
        <f t="shared" si="9"/>
        <v>MA</v>
      </c>
      <c r="N50" s="305">
        <v>0.0174</v>
      </c>
      <c r="O50" s="305">
        <v>0.0159</v>
      </c>
      <c r="S50" s="299" t="s">
        <v>903</v>
      </c>
      <c r="T50" s="303" t="s">
        <v>881</v>
      </c>
      <c r="U50" s="299" t="str">
        <f t="shared" si="8"/>
        <v>Tennessee</v>
      </c>
    </row>
    <row r="51" spans="1:21" ht="15" customHeight="1">
      <c r="A51" t="str">
        <f t="shared" si="3"/>
        <v>Utah</v>
      </c>
      <c r="B51" s="244" t="s">
        <v>888</v>
      </c>
      <c r="C51" s="231">
        <v>2120.814</v>
      </c>
      <c r="D51" s="232">
        <f t="shared" si="4"/>
        <v>0.0134</v>
      </c>
      <c r="E51" s="232">
        <f t="shared" si="5"/>
        <v>0.0308</v>
      </c>
      <c r="G51" s="245">
        <f>C51*'Conversion Factors'!$D$28</f>
        <v>0.9618204081632652</v>
      </c>
      <c r="H51" s="246">
        <f>D51*'Conversion Factors'!$D$28</f>
        <v>6.077097505668934E-06</v>
      </c>
      <c r="I51" s="247">
        <f>E51*'Conversion Factors'!$D$28</f>
        <v>1.3968253968253968E-05</v>
      </c>
      <c r="J51" s="248"/>
      <c r="L51" s="299" t="s">
        <v>889</v>
      </c>
      <c r="M51" s="299" t="str">
        <f t="shared" si="9"/>
        <v>NH</v>
      </c>
      <c r="N51" s="305">
        <v>0.0172</v>
      </c>
      <c r="O51" s="305">
        <v>0.0141</v>
      </c>
      <c r="S51" s="299" t="s">
        <v>906</v>
      </c>
      <c r="T51" s="303" t="s">
        <v>885</v>
      </c>
      <c r="U51" s="299" t="str">
        <f t="shared" si="8"/>
        <v>Texas</v>
      </c>
    </row>
    <row r="52" spans="1:21" ht="15" customHeight="1">
      <c r="A52" t="str">
        <f t="shared" si="3"/>
        <v>Virginia</v>
      </c>
      <c r="B52" s="244" t="s">
        <v>892</v>
      </c>
      <c r="C52" s="231">
        <v>1210.537</v>
      </c>
      <c r="D52" s="232">
        <f t="shared" si="4"/>
        <v>0.0137</v>
      </c>
      <c r="E52" s="232">
        <f t="shared" si="5"/>
        <v>0.0192</v>
      </c>
      <c r="G52" s="245">
        <f>C52*'Conversion Factors'!$D$28</f>
        <v>0.5489963718820862</v>
      </c>
      <c r="H52" s="246">
        <f>D52*'Conversion Factors'!$D$28</f>
        <v>6.2131519274376415E-06</v>
      </c>
      <c r="I52" s="247">
        <f>E52*'Conversion Factors'!$D$28</f>
        <v>8.707482993197278E-06</v>
      </c>
      <c r="J52" s="248"/>
      <c r="L52" s="299" t="s">
        <v>893</v>
      </c>
      <c r="M52" s="299" t="str">
        <f t="shared" si="9"/>
        <v>RI</v>
      </c>
      <c r="N52" s="305">
        <v>0.0068</v>
      </c>
      <c r="O52" s="305">
        <v>0.0047</v>
      </c>
      <c r="S52" s="299" t="s">
        <v>909</v>
      </c>
      <c r="T52" s="303" t="s">
        <v>888</v>
      </c>
      <c r="U52" s="299" t="str">
        <f t="shared" si="8"/>
        <v>Utah</v>
      </c>
    </row>
    <row r="53" spans="1:21" ht="15" customHeight="1">
      <c r="A53" t="str">
        <f t="shared" si="3"/>
        <v>Vermont</v>
      </c>
      <c r="B53" s="244" t="s">
        <v>895</v>
      </c>
      <c r="C53" s="231">
        <v>6.939</v>
      </c>
      <c r="D53" s="232">
        <f t="shared" si="4"/>
        <v>0.0096</v>
      </c>
      <c r="E53" s="232">
        <f t="shared" si="5"/>
        <v>0.0039</v>
      </c>
      <c r="G53" s="245">
        <f>C53*'Conversion Factors'!$D$28</f>
        <v>0.003146938775510204</v>
      </c>
      <c r="H53" s="246">
        <f>D53*'Conversion Factors'!$D$28</f>
        <v>4.353741496598639E-06</v>
      </c>
      <c r="I53" s="247">
        <f>E53*'Conversion Factors'!$D$28</f>
        <v>1.768707482993197E-06</v>
      </c>
      <c r="J53" s="248"/>
      <c r="L53" s="299" t="s">
        <v>896</v>
      </c>
      <c r="M53" s="299" t="str">
        <f t="shared" si="9"/>
        <v>VT</v>
      </c>
      <c r="N53" s="305">
        <v>0.0096</v>
      </c>
      <c r="O53" s="305">
        <v>0.0039</v>
      </c>
      <c r="S53" s="299" t="s">
        <v>911</v>
      </c>
      <c r="T53" s="303" t="s">
        <v>895</v>
      </c>
      <c r="U53" s="299" t="str">
        <f t="shared" si="8"/>
        <v>Vermont</v>
      </c>
    </row>
    <row r="54" spans="1:21" ht="15" customHeight="1">
      <c r="A54" t="str">
        <f t="shared" si="3"/>
        <v>Washington</v>
      </c>
      <c r="B54" s="244" t="s">
        <v>898</v>
      </c>
      <c r="C54" s="231">
        <v>359.933</v>
      </c>
      <c r="D54" s="232">
        <f t="shared" si="4"/>
        <v>0.0037</v>
      </c>
      <c r="E54" s="232">
        <f t="shared" si="5"/>
        <v>0.004</v>
      </c>
      <c r="G54" s="245">
        <f>C54*'Conversion Factors'!$D$28</f>
        <v>0.16323492063492062</v>
      </c>
      <c r="H54" s="246">
        <f>D54*'Conversion Factors'!$D$28</f>
        <v>1.6780045351473923E-06</v>
      </c>
      <c r="I54" s="247">
        <f>E54*'Conversion Factors'!$D$28</f>
        <v>1.8140589569160997E-06</v>
      </c>
      <c r="J54" s="248"/>
      <c r="L54" s="300" t="s">
        <v>899</v>
      </c>
      <c r="N54" s="304">
        <v>0.0093</v>
      </c>
      <c r="O54" s="304">
        <v>0.0145</v>
      </c>
      <c r="S54" s="299" t="s">
        <v>915</v>
      </c>
      <c r="T54" s="303" t="s">
        <v>892</v>
      </c>
      <c r="U54" s="299" t="str">
        <f t="shared" si="8"/>
        <v>Virginia</v>
      </c>
    </row>
    <row r="55" spans="1:21" ht="15" customHeight="1">
      <c r="A55" t="str">
        <f t="shared" si="3"/>
        <v>Wisconsin</v>
      </c>
      <c r="B55" s="244" t="s">
        <v>901</v>
      </c>
      <c r="C55" s="231">
        <v>1712.915</v>
      </c>
      <c r="D55" s="232">
        <f t="shared" si="4"/>
        <v>0.0138</v>
      </c>
      <c r="E55" s="232">
        <f t="shared" si="5"/>
        <v>0.026</v>
      </c>
      <c r="G55" s="245">
        <f>C55*'Conversion Factors'!$D$28</f>
        <v>0.7768321995464852</v>
      </c>
      <c r="H55" s="246">
        <f>D55*'Conversion Factors'!$D$28</f>
        <v>6.258503401360544E-06</v>
      </c>
      <c r="I55" s="247">
        <f>E55*'Conversion Factors'!$D$28</f>
        <v>1.1791383219954646E-05</v>
      </c>
      <c r="J55" s="248"/>
      <c r="L55" s="299" t="s">
        <v>902</v>
      </c>
      <c r="M55" s="299" t="str">
        <f>VLOOKUP(L55,US_Abb,2,0)</f>
        <v>NJ</v>
      </c>
      <c r="N55" s="305">
        <v>0.0077</v>
      </c>
      <c r="O55" s="305">
        <v>0.0079</v>
      </c>
      <c r="S55" s="299" t="s">
        <v>916</v>
      </c>
      <c r="T55" s="303" t="s">
        <v>898</v>
      </c>
      <c r="U55" s="299" t="str">
        <f t="shared" si="8"/>
        <v>Washington</v>
      </c>
    </row>
    <row r="56" spans="1:21" ht="15" customHeight="1">
      <c r="A56" t="str">
        <f t="shared" si="3"/>
        <v>West Virginia</v>
      </c>
      <c r="B56" s="244" t="s">
        <v>904</v>
      </c>
      <c r="C56" s="231">
        <v>1988.026</v>
      </c>
      <c r="D56" s="232">
        <f t="shared" si="4"/>
        <v>0.0137</v>
      </c>
      <c r="E56" s="232">
        <f t="shared" si="5"/>
        <v>0.0316</v>
      </c>
      <c r="G56" s="245">
        <f>C56*'Conversion Factors'!$D$28</f>
        <v>0.9015990929705215</v>
      </c>
      <c r="H56" s="246">
        <f>D56*'Conversion Factors'!$D$28</f>
        <v>6.2131519274376415E-06</v>
      </c>
      <c r="I56" s="247">
        <f>E56*'Conversion Factors'!$D$28</f>
        <v>1.4331065759637189E-05</v>
      </c>
      <c r="J56" s="248"/>
      <c r="L56" s="299" t="s">
        <v>905</v>
      </c>
      <c r="M56" s="299" t="str">
        <f>VLOOKUP(L56,US_Abb,2,0)</f>
        <v>NY</v>
      </c>
      <c r="N56" s="305">
        <v>0.0081</v>
      </c>
      <c r="O56" s="305">
        <v>0.0089</v>
      </c>
      <c r="S56" s="299" t="s">
        <v>918</v>
      </c>
      <c r="T56" s="303" t="s">
        <v>904</v>
      </c>
      <c r="U56" s="299" t="str">
        <f t="shared" si="8"/>
        <v>West Virginia</v>
      </c>
    </row>
    <row r="57" spans="1:21" ht="15" customHeight="1" thickBot="1">
      <c r="A57" t="str">
        <f t="shared" si="3"/>
        <v>Wyoming</v>
      </c>
      <c r="B57" s="244" t="s">
        <v>907</v>
      </c>
      <c r="C57" s="231">
        <v>2277.504</v>
      </c>
      <c r="D57" s="232">
        <f t="shared" si="4"/>
        <v>0.0147</v>
      </c>
      <c r="E57" s="232">
        <f t="shared" si="5"/>
        <v>0.0338</v>
      </c>
      <c r="G57" s="249">
        <f>C57*'Conversion Factors'!$D$28</f>
        <v>1.0328816326530612</v>
      </c>
      <c r="H57" s="250">
        <f>D57*'Conversion Factors'!$D$28</f>
        <v>6.666666666666666E-06</v>
      </c>
      <c r="I57" s="251">
        <f>E57*'Conversion Factors'!$D$28</f>
        <v>1.532879818594104E-05</v>
      </c>
      <c r="J57" s="248"/>
      <c r="L57" s="299" t="s">
        <v>908</v>
      </c>
      <c r="M57" s="299" t="str">
        <f>VLOOKUP(L57,US_Abb,2,0)</f>
        <v>PA</v>
      </c>
      <c r="N57" s="305">
        <v>0.0107</v>
      </c>
      <c r="O57" s="305">
        <v>0.0203</v>
      </c>
      <c r="S57" s="299" t="s">
        <v>920</v>
      </c>
      <c r="T57" s="303" t="s">
        <v>901</v>
      </c>
      <c r="U57" s="299" t="str">
        <f t="shared" si="8"/>
        <v>Wisconsin</v>
      </c>
    </row>
    <row r="58" spans="12:21" ht="15" customHeight="1">
      <c r="L58" s="300" t="s">
        <v>910</v>
      </c>
      <c r="N58" s="304">
        <v>0.0127</v>
      </c>
      <c r="O58" s="304">
        <v>0.0207</v>
      </c>
      <c r="S58" s="299" t="s">
        <v>922</v>
      </c>
      <c r="T58" s="303" t="s">
        <v>907</v>
      </c>
      <c r="U58" s="299" t="str">
        <f t="shared" si="8"/>
        <v>Wyoming</v>
      </c>
    </row>
    <row r="59" spans="2:15" ht="15" customHeight="1">
      <c r="B59" s="244" t="s">
        <v>912</v>
      </c>
      <c r="H59" s="252"/>
      <c r="I59" s="252"/>
      <c r="J59" s="252"/>
      <c r="L59" s="299" t="s">
        <v>913</v>
      </c>
      <c r="M59" s="299" t="str">
        <f aca="true" t="shared" si="10" ref="M59:M67">VLOOKUP(L59,US_Abb,2,0)</f>
        <v>DE</v>
      </c>
      <c r="N59" s="305">
        <v>0.0123</v>
      </c>
      <c r="O59" s="305">
        <v>0.0227</v>
      </c>
    </row>
    <row r="60" spans="7:15" ht="15" customHeight="1">
      <c r="G60" s="253"/>
      <c r="H60" s="254"/>
      <c r="I60" s="254"/>
      <c r="J60" s="253"/>
      <c r="L60" s="299" t="s">
        <v>914</v>
      </c>
      <c r="M60" s="299" t="str">
        <f t="shared" si="10"/>
        <v>FL</v>
      </c>
      <c r="N60" s="305">
        <v>0.015</v>
      </c>
      <c r="O60" s="305">
        <v>0.018</v>
      </c>
    </row>
    <row r="61" spans="7:15" ht="15" customHeight="1">
      <c r="G61" s="254"/>
      <c r="H61" s="254"/>
      <c r="I61" s="254"/>
      <c r="J61" s="254"/>
      <c r="L61" s="299" t="s">
        <v>78</v>
      </c>
      <c r="M61" s="299" t="str">
        <f t="shared" si="10"/>
        <v>GA</v>
      </c>
      <c r="N61" s="305">
        <v>0.0129</v>
      </c>
      <c r="O61" s="305">
        <v>0.0226</v>
      </c>
    </row>
    <row r="62" spans="12:15" ht="15" customHeight="1">
      <c r="L62" s="299" t="s">
        <v>917</v>
      </c>
      <c r="M62" s="299" t="str">
        <f t="shared" si="10"/>
        <v>MD</v>
      </c>
      <c r="N62" s="305">
        <v>0.0118</v>
      </c>
      <c r="O62" s="305">
        <v>0.0206</v>
      </c>
    </row>
    <row r="63" spans="12:15" ht="15" customHeight="1">
      <c r="L63" s="299" t="s">
        <v>919</v>
      </c>
      <c r="M63" s="299" t="str">
        <f t="shared" si="10"/>
        <v>NC</v>
      </c>
      <c r="N63" s="305">
        <v>0.0105</v>
      </c>
      <c r="O63" s="305">
        <v>0.0203</v>
      </c>
    </row>
    <row r="64" spans="12:15" ht="15" customHeight="1">
      <c r="L64" s="299" t="s">
        <v>921</v>
      </c>
      <c r="M64" s="299" t="str">
        <f t="shared" si="10"/>
        <v>SC</v>
      </c>
      <c r="N64" s="305">
        <v>0.0091</v>
      </c>
      <c r="O64" s="305">
        <v>0.0145</v>
      </c>
    </row>
    <row r="65" spans="12:15" ht="12.75">
      <c r="L65" s="299" t="s">
        <v>923</v>
      </c>
      <c r="M65" s="299" t="str">
        <f t="shared" si="10"/>
        <v>VA</v>
      </c>
      <c r="N65" s="305">
        <v>0.0137</v>
      </c>
      <c r="O65" s="305">
        <v>0.0192</v>
      </c>
    </row>
    <row r="66" spans="12:15" ht="12.75">
      <c r="L66" s="299" t="s">
        <v>924</v>
      </c>
      <c r="M66" s="299" t="str">
        <f t="shared" si="10"/>
        <v>WV</v>
      </c>
      <c r="N66" s="305">
        <v>0.0137</v>
      </c>
      <c r="O66" s="305">
        <v>0.0316</v>
      </c>
    </row>
    <row r="67" spans="12:15" ht="12.75">
      <c r="L67" s="300" t="s">
        <v>79</v>
      </c>
      <c r="M67" s="300" t="e">
        <f t="shared" si="10"/>
        <v>#N/A</v>
      </c>
      <c r="N67" s="304">
        <v>0.0111</v>
      </c>
      <c r="O67" s="304">
        <v>0.0192</v>
      </c>
    </row>
  </sheetData>
  <sheetProtection/>
  <hyperlinks>
    <hyperlink ref="L4" r:id="rId1" display="http://www.eia.doe.gov/pub/oiaf/1605/cdrom/pdf/gg-app-tables.pdf"/>
  </hyperlinks>
  <printOptions/>
  <pageMargins left="0.75" right="0.75" top="1" bottom="1" header="0.5" footer="0.5"/>
  <pageSetup horizontalDpi="600" verticalDpi="600" orientation="portrait" paperSize="123" r:id="rId5"/>
  <drawing r:id="rId4"/>
  <legacyDrawing r:id="rId3"/>
</worksheet>
</file>

<file path=xl/worksheets/sheet14.xml><?xml version="1.0" encoding="utf-8"?>
<worksheet xmlns="http://schemas.openxmlformats.org/spreadsheetml/2006/main" xmlns:r="http://schemas.openxmlformats.org/officeDocument/2006/relationships">
  <sheetPr codeName="Sheet14">
    <pageSetUpPr fitToPage="1"/>
  </sheetPr>
  <dimension ref="A1:G46"/>
  <sheetViews>
    <sheetView showGridLines="0" zoomScale="85" zoomScaleNormal="85" workbookViewId="0" topLeftCell="A31">
      <selection activeCell="D49" sqref="D49"/>
    </sheetView>
  </sheetViews>
  <sheetFormatPr defaultColWidth="9.140625" defaultRowHeight="12.75"/>
  <cols>
    <col min="1" max="1" width="4.7109375" style="20" customWidth="1"/>
    <col min="2" max="2" width="7.8515625" style="20" customWidth="1"/>
    <col min="3" max="3" width="25.8515625" style="20" customWidth="1"/>
    <col min="4" max="4" width="29.57421875" style="346" customWidth="1"/>
    <col min="5" max="5" width="27.57421875" style="346" customWidth="1"/>
    <col min="6" max="6" width="37.140625" style="346" customWidth="1"/>
    <col min="7" max="7" width="7.8515625" style="20" customWidth="1"/>
    <col min="8" max="8" width="14.7109375" style="20" customWidth="1"/>
    <col min="9" max="16384" width="9.7109375" style="20" customWidth="1"/>
  </cols>
  <sheetData>
    <row r="1" spans="1:6" s="546" customFormat="1" ht="47.25" customHeight="1" thickBot="1">
      <c r="A1" s="546" t="s">
        <v>80</v>
      </c>
      <c r="D1" s="573"/>
      <c r="E1" s="573"/>
      <c r="F1" s="573"/>
    </row>
    <row r="2" spans="4:6" s="120" customFormat="1" ht="18" customHeight="1" thickTop="1">
      <c r="D2" s="342"/>
      <c r="E2" s="342"/>
      <c r="F2" s="342"/>
    </row>
    <row r="3" spans="2:6" s="87" customFormat="1" ht="18" customHeight="1" thickBot="1">
      <c r="B3" s="343"/>
      <c r="D3" s="344"/>
      <c r="E3" s="344"/>
      <c r="F3" s="344"/>
    </row>
    <row r="4" spans="2:7" s="87" customFormat="1" ht="19.5" customHeight="1" thickTop="1">
      <c r="B4" s="347"/>
      <c r="C4" s="348"/>
      <c r="D4" s="349"/>
      <c r="E4" s="349"/>
      <c r="F4" s="349"/>
      <c r="G4" s="350"/>
    </row>
    <row r="5" spans="2:7" s="345" customFormat="1" ht="19.5" customHeight="1">
      <c r="B5" s="351"/>
      <c r="C5" s="2" t="s">
        <v>81</v>
      </c>
      <c r="D5" s="3"/>
      <c r="E5" s="3"/>
      <c r="F5" s="3"/>
      <c r="G5" s="352"/>
    </row>
    <row r="6" spans="2:7" s="345" customFormat="1" ht="19.5" customHeight="1">
      <c r="B6" s="351"/>
      <c r="C6" s="4" t="s">
        <v>82</v>
      </c>
      <c r="D6" s="5" t="s">
        <v>83</v>
      </c>
      <c r="E6" s="5" t="s">
        <v>84</v>
      </c>
      <c r="F6" s="5" t="s">
        <v>85</v>
      </c>
      <c r="G6" s="352"/>
    </row>
    <row r="7" spans="2:7" s="345" customFormat="1" ht="19.5" customHeight="1">
      <c r="B7" s="351"/>
      <c r="C7" s="4" t="s">
        <v>86</v>
      </c>
      <c r="D7" s="5" t="s">
        <v>87</v>
      </c>
      <c r="E7" s="5" t="s">
        <v>88</v>
      </c>
      <c r="F7" s="5"/>
      <c r="G7" s="352"/>
    </row>
    <row r="8" spans="2:7" s="345" customFormat="1" ht="19.5" customHeight="1">
      <c r="B8" s="351"/>
      <c r="C8" s="4" t="s">
        <v>89</v>
      </c>
      <c r="D8" s="5" t="s">
        <v>90</v>
      </c>
      <c r="E8" s="5" t="s">
        <v>91</v>
      </c>
      <c r="F8" s="5"/>
      <c r="G8" s="352"/>
    </row>
    <row r="9" spans="2:7" s="345" customFormat="1" ht="19.5" customHeight="1">
      <c r="B9" s="351"/>
      <c r="C9" s="4" t="s">
        <v>92</v>
      </c>
      <c r="D9" s="5" t="s">
        <v>93</v>
      </c>
      <c r="E9" s="5" t="s">
        <v>94</v>
      </c>
      <c r="F9" s="5" t="s">
        <v>95</v>
      </c>
      <c r="G9" s="352"/>
    </row>
    <row r="10" spans="2:7" s="345" customFormat="1" ht="19.5" customHeight="1">
      <c r="B10" s="351"/>
      <c r="C10" s="4"/>
      <c r="D10" s="5"/>
      <c r="E10" s="5" t="s">
        <v>77</v>
      </c>
      <c r="F10" s="5"/>
      <c r="G10" s="352"/>
    </row>
    <row r="11" spans="2:7" s="345" customFormat="1" ht="19.5" customHeight="1">
      <c r="B11" s="351"/>
      <c r="C11" s="2" t="s">
        <v>96</v>
      </c>
      <c r="D11" s="5"/>
      <c r="E11" s="5"/>
      <c r="F11" s="5"/>
      <c r="G11" s="352"/>
    </row>
    <row r="12" spans="2:7" s="345" customFormat="1" ht="19.5" customHeight="1">
      <c r="B12" s="351"/>
      <c r="C12" s="4" t="s">
        <v>149</v>
      </c>
      <c r="D12" s="5" t="s">
        <v>97</v>
      </c>
      <c r="E12" s="5" t="s">
        <v>98</v>
      </c>
      <c r="F12" s="5"/>
      <c r="G12" s="352"/>
    </row>
    <row r="13" spans="2:7" s="345" customFormat="1" ht="19.5" customHeight="1">
      <c r="B13" s="351"/>
      <c r="C13" s="4" t="s">
        <v>149</v>
      </c>
      <c r="D13" s="5" t="s">
        <v>99</v>
      </c>
      <c r="E13" s="70">
        <v>0.02832</v>
      </c>
      <c r="F13" s="5" t="s">
        <v>968</v>
      </c>
      <c r="G13" s="352"/>
    </row>
    <row r="14" spans="2:7" s="345" customFormat="1" ht="19.5" customHeight="1">
      <c r="B14" s="351"/>
      <c r="C14" s="4" t="s">
        <v>100</v>
      </c>
      <c r="D14" s="6" t="s">
        <v>101</v>
      </c>
      <c r="E14" s="5" t="s">
        <v>102</v>
      </c>
      <c r="F14" s="5" t="s">
        <v>150</v>
      </c>
      <c r="G14" s="352"/>
    </row>
    <row r="15" spans="2:7" s="345" customFormat="1" ht="19.5" customHeight="1">
      <c r="B15" s="351"/>
      <c r="C15" s="4" t="s">
        <v>103</v>
      </c>
      <c r="D15" s="5" t="s">
        <v>104</v>
      </c>
      <c r="E15" s="5" t="s">
        <v>105</v>
      </c>
      <c r="F15" s="5" t="s">
        <v>151</v>
      </c>
      <c r="G15" s="352"/>
    </row>
    <row r="16" spans="2:7" s="345" customFormat="1" ht="19.5" customHeight="1">
      <c r="B16" s="351"/>
      <c r="C16" s="4" t="s">
        <v>106</v>
      </c>
      <c r="D16" s="5" t="s">
        <v>152</v>
      </c>
      <c r="E16" s="70">
        <v>0.2642</v>
      </c>
      <c r="F16" s="5" t="s">
        <v>966</v>
      </c>
      <c r="G16" s="352"/>
    </row>
    <row r="17" spans="2:7" s="345" customFormat="1" ht="19.5" customHeight="1">
      <c r="B17" s="351"/>
      <c r="C17" s="4" t="s">
        <v>153</v>
      </c>
      <c r="D17" s="5" t="s">
        <v>107</v>
      </c>
      <c r="E17" s="5" t="s">
        <v>108</v>
      </c>
      <c r="F17" s="5" t="s">
        <v>109</v>
      </c>
      <c r="G17" s="352"/>
    </row>
    <row r="18" spans="2:7" s="345" customFormat="1" ht="19.5" customHeight="1">
      <c r="B18" s="351"/>
      <c r="C18" s="4"/>
      <c r="D18" s="5"/>
      <c r="E18" s="5"/>
      <c r="F18" s="5"/>
      <c r="G18" s="352"/>
    </row>
    <row r="19" spans="2:7" s="345" customFormat="1" ht="19.5" customHeight="1">
      <c r="B19" s="351"/>
      <c r="C19" s="2" t="s">
        <v>110</v>
      </c>
      <c r="D19" s="5"/>
      <c r="E19" s="5"/>
      <c r="F19" s="5"/>
      <c r="G19" s="352"/>
    </row>
    <row r="20" spans="2:7" s="345" customFormat="1" ht="19.5" customHeight="1">
      <c r="B20" s="351"/>
      <c r="C20" s="4" t="s">
        <v>111</v>
      </c>
      <c r="D20" s="5" t="s">
        <v>112</v>
      </c>
      <c r="E20" s="5" t="s">
        <v>113</v>
      </c>
      <c r="F20" s="5"/>
      <c r="G20" s="352"/>
    </row>
    <row r="21" spans="2:7" s="345" customFormat="1" ht="19.5" customHeight="1">
      <c r="B21" s="351"/>
      <c r="C21" s="4" t="s">
        <v>154</v>
      </c>
      <c r="D21" s="5" t="s">
        <v>155</v>
      </c>
      <c r="E21" s="5"/>
      <c r="F21" s="5"/>
      <c r="G21" s="352"/>
    </row>
    <row r="22" spans="2:7" s="345" customFormat="1" ht="19.5" customHeight="1">
      <c r="B22" s="351"/>
      <c r="C22" s="4" t="s">
        <v>114</v>
      </c>
      <c r="D22" s="5" t="s">
        <v>115</v>
      </c>
      <c r="E22" s="5"/>
      <c r="F22" s="5"/>
      <c r="G22" s="352"/>
    </row>
    <row r="23" spans="2:7" s="345" customFormat="1" ht="19.5" customHeight="1">
      <c r="B23" s="351"/>
      <c r="C23" s="4" t="s">
        <v>116</v>
      </c>
      <c r="D23" s="5" t="s">
        <v>117</v>
      </c>
      <c r="E23" s="5" t="s">
        <v>118</v>
      </c>
      <c r="F23" s="5"/>
      <c r="G23" s="352"/>
    </row>
    <row r="24" spans="2:7" s="345" customFormat="1" ht="19.5" customHeight="1">
      <c r="B24" s="351"/>
      <c r="C24" s="4" t="s">
        <v>119</v>
      </c>
      <c r="D24" s="5" t="s">
        <v>120</v>
      </c>
      <c r="E24" s="5"/>
      <c r="F24" s="5"/>
      <c r="G24" s="352"/>
    </row>
    <row r="25" spans="2:7" s="345" customFormat="1" ht="19.5" customHeight="1">
      <c r="B25" s="351"/>
      <c r="C25" s="4" t="s">
        <v>121</v>
      </c>
      <c r="D25" s="5" t="s">
        <v>122</v>
      </c>
      <c r="E25" s="5" t="s">
        <v>123</v>
      </c>
      <c r="F25" s="5"/>
      <c r="G25" s="352"/>
    </row>
    <row r="26" spans="2:7" s="345" customFormat="1" ht="19.5" customHeight="1">
      <c r="B26" s="351"/>
      <c r="C26" s="4" t="s">
        <v>124</v>
      </c>
      <c r="D26" s="5" t="s">
        <v>125</v>
      </c>
      <c r="E26" s="5" t="s">
        <v>126</v>
      </c>
      <c r="F26" s="5" t="s">
        <v>127</v>
      </c>
      <c r="G26" s="352"/>
    </row>
    <row r="27" spans="2:7" s="345" customFormat="1" ht="19.5" customHeight="1">
      <c r="B27" s="351"/>
      <c r="C27" s="4" t="s">
        <v>128</v>
      </c>
      <c r="D27" s="5" t="s">
        <v>129</v>
      </c>
      <c r="E27" s="5" t="s">
        <v>130</v>
      </c>
      <c r="F27" s="5"/>
      <c r="G27" s="352"/>
    </row>
    <row r="28" spans="2:7" s="345" customFormat="1" ht="19.5" customHeight="1">
      <c r="B28" s="351"/>
      <c r="C28" s="8" t="s">
        <v>927</v>
      </c>
      <c r="D28" s="353">
        <f>1/2.205/1000</f>
        <v>0.0004535147392290249</v>
      </c>
      <c r="E28" s="8" t="s">
        <v>757</v>
      </c>
      <c r="F28" s="5"/>
      <c r="G28" s="352"/>
    </row>
    <row r="29" spans="2:7" s="345" customFormat="1" ht="19.5" customHeight="1">
      <c r="B29" s="351"/>
      <c r="C29" s="2" t="s">
        <v>131</v>
      </c>
      <c r="D29" s="5"/>
      <c r="E29" s="5"/>
      <c r="F29" s="5"/>
      <c r="G29" s="352"/>
    </row>
    <row r="30" spans="2:7" s="345" customFormat="1" ht="33" customHeight="1">
      <c r="B30" s="351"/>
      <c r="C30" s="7" t="s">
        <v>156</v>
      </c>
      <c r="D30" s="5" t="s">
        <v>157</v>
      </c>
      <c r="E30" s="5"/>
      <c r="F30" s="5"/>
      <c r="G30" s="352"/>
    </row>
    <row r="31" spans="2:7" s="345" customFormat="1" ht="19.5" customHeight="1">
      <c r="B31" s="351"/>
      <c r="C31" s="4"/>
      <c r="D31" s="5"/>
      <c r="E31" s="5"/>
      <c r="F31" s="5"/>
      <c r="G31" s="352"/>
    </row>
    <row r="32" spans="2:7" s="345" customFormat="1" ht="19.5" customHeight="1">
      <c r="B32" s="351"/>
      <c r="C32" s="2" t="s">
        <v>132</v>
      </c>
      <c r="D32" s="5"/>
      <c r="E32" s="5"/>
      <c r="F32" s="5"/>
      <c r="G32" s="352"/>
    </row>
    <row r="33" spans="2:7" s="345" customFormat="1" ht="19.5" customHeight="1">
      <c r="B33" s="351"/>
      <c r="C33" s="4" t="s">
        <v>133</v>
      </c>
      <c r="D33" s="70">
        <v>1000</v>
      </c>
      <c r="E33" s="5"/>
      <c r="F33" s="5"/>
      <c r="G33" s="352"/>
    </row>
    <row r="34" spans="2:7" s="345" customFormat="1" ht="19.5" customHeight="1">
      <c r="B34" s="351"/>
      <c r="C34" s="4" t="s">
        <v>134</v>
      </c>
      <c r="D34" s="70">
        <v>1000000</v>
      </c>
      <c r="E34" s="5"/>
      <c r="F34" s="5"/>
      <c r="G34" s="352"/>
    </row>
    <row r="35" spans="2:7" s="345" customFormat="1" ht="19.5" customHeight="1">
      <c r="B35" s="351"/>
      <c r="C35" s="4" t="s">
        <v>135</v>
      </c>
      <c r="D35" s="70">
        <v>1000000000</v>
      </c>
      <c r="E35" s="5"/>
      <c r="F35" s="5"/>
      <c r="G35" s="352"/>
    </row>
    <row r="36" spans="2:7" s="345" customFormat="1" ht="19.5" customHeight="1">
      <c r="B36" s="351"/>
      <c r="C36" s="4" t="s">
        <v>136</v>
      </c>
      <c r="D36" s="70">
        <v>1000000000000</v>
      </c>
      <c r="E36" s="5"/>
      <c r="F36" s="5"/>
      <c r="G36" s="352"/>
    </row>
    <row r="37" spans="2:7" s="345" customFormat="1" ht="19.5" customHeight="1">
      <c r="B37" s="351"/>
      <c r="C37" s="4" t="s">
        <v>137</v>
      </c>
      <c r="D37" s="5" t="s">
        <v>138</v>
      </c>
      <c r="E37" s="5"/>
      <c r="F37" s="5"/>
      <c r="G37" s="352"/>
    </row>
    <row r="38" spans="2:7" s="345" customFormat="1" ht="19.5" customHeight="1">
      <c r="B38" s="351"/>
      <c r="C38" s="4" t="s">
        <v>158</v>
      </c>
      <c r="D38" s="5" t="s">
        <v>139</v>
      </c>
      <c r="E38" s="5"/>
      <c r="F38" s="5"/>
      <c r="G38" s="352"/>
    </row>
    <row r="39" spans="2:7" s="345" customFormat="1" ht="19.5" customHeight="1">
      <c r="B39" s="351"/>
      <c r="C39" s="4" t="s">
        <v>140</v>
      </c>
      <c r="D39" s="5" t="s">
        <v>141</v>
      </c>
      <c r="E39" s="5" t="s">
        <v>142</v>
      </c>
      <c r="F39" s="5" t="s">
        <v>143</v>
      </c>
      <c r="G39" s="352"/>
    </row>
    <row r="40" spans="2:7" s="345" customFormat="1" ht="19.5" customHeight="1">
      <c r="B40" s="351"/>
      <c r="C40" s="4" t="s">
        <v>144</v>
      </c>
      <c r="D40" s="5" t="s">
        <v>145</v>
      </c>
      <c r="E40" s="5"/>
      <c r="F40" s="5"/>
      <c r="G40" s="352"/>
    </row>
    <row r="41" spans="2:7" s="345" customFormat="1" ht="19.5" customHeight="1">
      <c r="B41" s="351"/>
      <c r="C41" s="4" t="s">
        <v>159</v>
      </c>
      <c r="D41" s="5" t="s">
        <v>160</v>
      </c>
      <c r="E41" s="5"/>
      <c r="F41" s="5"/>
      <c r="G41" s="352"/>
    </row>
    <row r="42" spans="2:7" s="345" customFormat="1" ht="19.5" customHeight="1">
      <c r="B42" s="351"/>
      <c r="C42" s="4" t="s">
        <v>161</v>
      </c>
      <c r="D42" s="5" t="s">
        <v>162</v>
      </c>
      <c r="E42" s="5"/>
      <c r="F42" s="5"/>
      <c r="G42" s="352"/>
    </row>
    <row r="43" spans="2:7" s="345" customFormat="1" ht="19.5" customHeight="1">
      <c r="B43" s="351"/>
      <c r="C43" s="4" t="s">
        <v>146</v>
      </c>
      <c r="D43" s="5" t="s">
        <v>163</v>
      </c>
      <c r="E43" s="5"/>
      <c r="F43" s="5"/>
      <c r="G43" s="352"/>
    </row>
    <row r="44" spans="2:7" s="345" customFormat="1" ht="19.5" customHeight="1">
      <c r="B44" s="351"/>
      <c r="C44" s="6" t="s">
        <v>147</v>
      </c>
      <c r="D44" s="6" t="s">
        <v>148</v>
      </c>
      <c r="E44" s="5"/>
      <c r="F44" s="5"/>
      <c r="G44" s="352"/>
    </row>
    <row r="45" spans="2:7" ht="19.5" customHeight="1" thickBot="1">
      <c r="B45" s="354"/>
      <c r="C45" s="355"/>
      <c r="D45" s="356"/>
      <c r="E45" s="356"/>
      <c r="F45" s="356"/>
      <c r="G45" s="357"/>
    </row>
    <row r="46" ht="13.5" thickTop="1">
      <c r="B46" s="482" t="s">
        <v>19</v>
      </c>
    </row>
    <row r="67" ht="17.25" customHeight="1"/>
    <row r="68" ht="17.25" customHeight="1"/>
    <row r="69" ht="17.25" customHeight="1"/>
    <row r="70" ht="17.25" customHeight="1"/>
    <row r="71" ht="17.25" customHeight="1"/>
  </sheetData>
  <sheetProtection/>
  <printOptions/>
  <pageMargins left="0.75" right="0.75" top="1" bottom="1" header="0.5" footer="0.5"/>
  <pageSetup fitToHeight="1" fitToWidth="1" horizontalDpi="600" verticalDpi="600" orientation="portrait" paperSize="9" scale="62" r:id="rId2"/>
  <drawing r:id="rId1"/>
</worksheet>
</file>

<file path=xl/worksheets/sheet15.xml><?xml version="1.0" encoding="utf-8"?>
<worksheet xmlns="http://schemas.openxmlformats.org/spreadsheetml/2006/main" xmlns:r="http://schemas.openxmlformats.org/officeDocument/2006/relationships">
  <sheetPr codeName="Sheet17"/>
  <dimension ref="A1:J40"/>
  <sheetViews>
    <sheetView showGridLines="0" workbookViewId="0" topLeftCell="A1">
      <selection activeCell="N15" sqref="N15"/>
    </sheetView>
  </sheetViews>
  <sheetFormatPr defaultColWidth="9.140625" defaultRowHeight="12.75"/>
  <cols>
    <col min="1" max="1" width="32.140625" style="283" customWidth="1"/>
    <col min="2" max="2" width="15.140625" style="283" customWidth="1"/>
    <col min="3" max="3" width="14.57421875" style="283" customWidth="1"/>
    <col min="4" max="7" width="9.140625" style="283" customWidth="1"/>
    <col min="8" max="8" width="9.421875" style="283" customWidth="1"/>
    <col min="9" max="16384" width="9.140625" style="283" customWidth="1"/>
  </cols>
  <sheetData>
    <row r="1" spans="1:8" s="546" customFormat="1" ht="54.75" customHeight="1" thickBot="1">
      <c r="A1" s="674" t="s">
        <v>1053</v>
      </c>
      <c r="B1" s="674"/>
      <c r="C1" s="674"/>
      <c r="D1" s="674"/>
      <c r="E1" s="674"/>
      <c r="F1" s="574"/>
      <c r="G1" s="574"/>
      <c r="H1" s="574"/>
    </row>
    <row r="2" s="358" customFormat="1" ht="12" thickTop="1"/>
    <row r="3" s="359" customFormat="1" ht="11.25">
      <c r="A3" s="93" t="s">
        <v>1004</v>
      </c>
    </row>
    <row r="4" spans="1:4" s="359" customFormat="1" ht="11.25">
      <c r="A4" s="360" t="s">
        <v>1005</v>
      </c>
      <c r="B4" s="361">
        <v>0.12341</v>
      </c>
      <c r="C4" s="359" t="s">
        <v>1006</v>
      </c>
      <c r="D4" s="362" t="s">
        <v>1007</v>
      </c>
    </row>
    <row r="5" spans="1:8" s="359" customFormat="1" ht="11.25">
      <c r="A5" s="360" t="s">
        <v>1008</v>
      </c>
      <c r="B5" s="361">
        <f>H8</f>
        <v>0.06929503622357565</v>
      </c>
      <c r="C5" s="359" t="s">
        <v>1009</v>
      </c>
      <c r="H5" s="93" t="s">
        <v>1010</v>
      </c>
    </row>
    <row r="6" spans="8:10" s="359" customFormat="1" ht="11.25">
      <c r="H6" s="359">
        <v>1.11</v>
      </c>
      <c r="I6" s="359" t="s">
        <v>1011</v>
      </c>
      <c r="J6" s="362" t="s">
        <v>1012</v>
      </c>
    </row>
    <row r="7" spans="8:9" s="359" customFormat="1" ht="11.25">
      <c r="H7" s="363">
        <f>H6*A33</f>
        <v>2.4471311082000002</v>
      </c>
      <c r="I7" s="359" t="s">
        <v>1013</v>
      </c>
    </row>
    <row r="8" spans="1:9" s="359" customFormat="1" ht="11.25">
      <c r="A8" s="93" t="s">
        <v>1014</v>
      </c>
      <c r="H8" s="363">
        <f>H7/A34</f>
        <v>0.06929503622357565</v>
      </c>
      <c r="I8" s="359" t="s">
        <v>1015</v>
      </c>
    </row>
    <row r="9" spans="1:10" s="359" customFormat="1" ht="11.25">
      <c r="A9" s="360" t="s">
        <v>1005</v>
      </c>
      <c r="B9" s="359">
        <f>(B4/A36)/A35</f>
        <v>6.801697530864199E-05</v>
      </c>
      <c r="G9" s="364" t="s">
        <v>1016</v>
      </c>
      <c r="H9" s="359">
        <v>1.9769</v>
      </c>
      <c r="I9" s="359" t="s">
        <v>1011</v>
      </c>
      <c r="J9" s="362" t="s">
        <v>1007</v>
      </c>
    </row>
    <row r="10" spans="1:2" s="359" customFormat="1" ht="11.25">
      <c r="A10" s="360" t="s">
        <v>1008</v>
      </c>
      <c r="B10" s="365">
        <f>A30</f>
        <v>0.00010625343301294523</v>
      </c>
    </row>
    <row r="11" s="359" customFormat="1" ht="11.25"/>
    <row r="12" s="359" customFormat="1" ht="11.25">
      <c r="A12" s="93" t="s">
        <v>1019</v>
      </c>
    </row>
    <row r="13" spans="1:2" s="359" customFormat="1" ht="11.25">
      <c r="A13" s="360" t="s">
        <v>1005</v>
      </c>
      <c r="B13" s="366">
        <f>B9*A38</f>
        <v>68.01697530864199</v>
      </c>
    </row>
    <row r="14" spans="1:2" s="359" customFormat="1" ht="11.25">
      <c r="A14" s="360" t="s">
        <v>1008</v>
      </c>
      <c r="B14" s="366">
        <f>B10*A38</f>
        <v>106.25343301294524</v>
      </c>
    </row>
    <row r="15" s="359" customFormat="1" ht="11.25"/>
    <row r="16" spans="1:7" s="359" customFormat="1" ht="12" thickBot="1">
      <c r="A16" s="367" t="s">
        <v>1042</v>
      </c>
      <c r="B16" s="368"/>
      <c r="C16" s="368"/>
      <c r="D16" s="368"/>
      <c r="E16" s="368"/>
      <c r="F16" s="368"/>
      <c r="G16" s="368"/>
    </row>
    <row r="17" spans="1:10" s="359" customFormat="1" ht="11.25">
      <c r="A17" s="364" t="s">
        <v>1023</v>
      </c>
      <c r="B17" s="359" t="s">
        <v>1024</v>
      </c>
      <c r="E17" s="359" t="s">
        <v>1025</v>
      </c>
      <c r="F17" s="359" t="s">
        <v>1026</v>
      </c>
      <c r="I17" s="520">
        <f>E19/A19</f>
        <v>3.380454569894538</v>
      </c>
      <c r="J17" s="93" t="s">
        <v>41</v>
      </c>
    </row>
    <row r="18" s="359" customFormat="1" ht="3.75" customHeight="1"/>
    <row r="19" spans="1:8" s="359" customFormat="1" ht="11.25">
      <c r="A19" s="359">
        <f>+I37</f>
        <v>26.037799999999997</v>
      </c>
      <c r="B19" s="359">
        <f>15.9994*2*2.5</f>
        <v>79.997</v>
      </c>
      <c r="C19" s="359">
        <f>+B19+A19</f>
        <v>106.03479999999999</v>
      </c>
      <c r="D19" s="359" t="s">
        <v>262</v>
      </c>
      <c r="E19" s="359">
        <f>+I35*2</f>
        <v>88.0196</v>
      </c>
      <c r="F19" s="359">
        <f>1.0079*2+15.9994</f>
        <v>18.0152</v>
      </c>
      <c r="G19" s="359">
        <f>+F19+E19</f>
        <v>106.03479999999999</v>
      </c>
      <c r="H19" s="359" t="s">
        <v>262</v>
      </c>
    </row>
    <row r="20" s="359" customFormat="1" ht="11.25"/>
    <row r="21" spans="1:6" s="359" customFormat="1" ht="11.25">
      <c r="A21" s="359">
        <f>+A19/H6</f>
        <v>23.45747747747747</v>
      </c>
      <c r="B21" s="359" t="s">
        <v>1027</v>
      </c>
      <c r="E21" s="359">
        <f>+E19/H9</f>
        <v>44.52405280995497</v>
      </c>
      <c r="F21" s="359" t="s">
        <v>1028</v>
      </c>
    </row>
    <row r="22" s="359" customFormat="1" ht="11.25"/>
    <row r="23" spans="1:3" s="359" customFormat="1" ht="11.25">
      <c r="A23" s="359">
        <v>1</v>
      </c>
      <c r="B23" s="359" t="s">
        <v>1032</v>
      </c>
      <c r="C23" s="359" t="s">
        <v>1033</v>
      </c>
    </row>
    <row r="24" spans="1:3" s="359" customFormat="1" ht="11.25">
      <c r="A24" s="359">
        <f>+A23/A34</f>
        <v>0.028316846609230496</v>
      </c>
      <c r="B24" s="359" t="s">
        <v>1034</v>
      </c>
      <c r="C24" s="359" t="s">
        <v>1033</v>
      </c>
    </row>
    <row r="25" spans="1:3" s="359" customFormat="1" ht="11.25">
      <c r="A25" s="359">
        <f>+H6*A24</f>
        <v>0.03143169973624585</v>
      </c>
      <c r="B25" s="359" t="s">
        <v>1035</v>
      </c>
      <c r="C25" s="359" t="s">
        <v>1033</v>
      </c>
    </row>
    <row r="26" spans="1:3" s="359" customFormat="1" ht="11.25">
      <c r="A26" s="359">
        <f>+A25/I37</f>
        <v>0.0012071565084702184</v>
      </c>
      <c r="B26" s="359" t="s">
        <v>1036</v>
      </c>
      <c r="C26" s="359" t="s">
        <v>1033</v>
      </c>
    </row>
    <row r="27" spans="1:3" s="359" customFormat="1" ht="11.25">
      <c r="A27" s="359">
        <f>+A26*2</f>
        <v>0.002414313016940437</v>
      </c>
      <c r="B27" s="359" t="s">
        <v>1037</v>
      </c>
      <c r="C27" s="359" t="s">
        <v>1038</v>
      </c>
    </row>
    <row r="28" spans="1:3" s="359" customFormat="1" ht="11.25">
      <c r="A28" s="359">
        <f>+A27*I35</f>
        <v>0.10625343301294524</v>
      </c>
      <c r="B28" s="359" t="s">
        <v>1035</v>
      </c>
      <c r="C28" s="359" t="s">
        <v>1039</v>
      </c>
    </row>
    <row r="29" s="359" customFormat="1" ht="11.25"/>
    <row r="30" spans="1:5" s="359" customFormat="1" ht="11.25">
      <c r="A30" s="93">
        <f>+A28/1000</f>
        <v>0.00010625343301294523</v>
      </c>
      <c r="B30" s="93" t="s">
        <v>1040</v>
      </c>
      <c r="C30" s="93" t="s">
        <v>1041</v>
      </c>
      <c r="D30" s="93"/>
      <c r="E30" s="93"/>
    </row>
    <row r="31" s="359" customFormat="1" ht="11.25"/>
    <row r="32" spans="1:8" s="359" customFormat="1" ht="12" thickBot="1">
      <c r="A32" s="673" t="s">
        <v>80</v>
      </c>
      <c r="B32" s="673"/>
      <c r="D32" s="367" t="s">
        <v>1017</v>
      </c>
      <c r="E32" s="368"/>
      <c r="F32" s="368"/>
      <c r="H32" s="93" t="s">
        <v>1022</v>
      </c>
    </row>
    <row r="33" spans="1:8" s="359" customFormat="1" ht="11.25">
      <c r="A33" s="363">
        <v>2.20462262</v>
      </c>
      <c r="B33" s="359" t="s">
        <v>999</v>
      </c>
      <c r="D33" s="359" t="s">
        <v>1018</v>
      </c>
      <c r="F33" s="359">
        <v>12.01</v>
      </c>
      <c r="H33" s="369">
        <f>(F33*2)/F35</f>
        <v>0.9224270353302612</v>
      </c>
    </row>
    <row r="34" spans="1:6" s="359" customFormat="1" ht="11.25">
      <c r="A34" s="363">
        <v>35.3146667</v>
      </c>
      <c r="B34" s="359" t="s">
        <v>1000</v>
      </c>
      <c r="D34" s="359" t="s">
        <v>1020</v>
      </c>
      <c r="F34" s="359">
        <v>1.01</v>
      </c>
    </row>
    <row r="35" spans="1:9" s="359" customFormat="1" ht="11.25">
      <c r="A35" s="359">
        <v>0.9072</v>
      </c>
      <c r="B35" s="359" t="s">
        <v>1001</v>
      </c>
      <c r="D35" s="370" t="s">
        <v>1021</v>
      </c>
      <c r="E35" s="370"/>
      <c r="F35" s="370">
        <f>(F33*2)+(F34*2)</f>
        <v>26.04</v>
      </c>
      <c r="H35" s="359" t="s">
        <v>1016</v>
      </c>
      <c r="I35" s="359">
        <f>12.011+15.9994+15.9994</f>
        <v>44.0098</v>
      </c>
    </row>
    <row r="36" spans="1:10" s="359" customFormat="1" ht="11.25">
      <c r="A36" s="371">
        <v>2000</v>
      </c>
      <c r="B36" s="359" t="s">
        <v>1002</v>
      </c>
      <c r="H36" s="359" t="s">
        <v>1029</v>
      </c>
      <c r="I36" s="359">
        <f>12.011+12.011</f>
        <v>24.022</v>
      </c>
      <c r="J36" s="372">
        <f>+I36/I37</f>
        <v>0.9225817849434285</v>
      </c>
    </row>
    <row r="37" spans="1:9" s="359" customFormat="1" ht="11.25">
      <c r="A37" s="363">
        <f>(12.011+15.9994+15.9994)/12.011</f>
        <v>3.6641245524935475</v>
      </c>
      <c r="B37" s="359" t="s">
        <v>1003</v>
      </c>
      <c r="H37" s="359" t="s">
        <v>1030</v>
      </c>
      <c r="I37" s="359">
        <f>12.011+12.011+1.0079+1.0079</f>
        <v>26.037799999999997</v>
      </c>
    </row>
    <row r="38" spans="1:2" s="359" customFormat="1" ht="11.25">
      <c r="A38" s="373">
        <v>1000000</v>
      </c>
      <c r="B38" s="370"/>
    </row>
    <row r="39" s="359" customFormat="1" ht="11.25">
      <c r="H39" s="359" t="s">
        <v>1045</v>
      </c>
    </row>
    <row r="40" s="359" customFormat="1" ht="11.25">
      <c r="H40" s="359" t="s">
        <v>1031</v>
      </c>
    </row>
    <row r="41" s="359" customFormat="1" ht="11.25"/>
    <row r="42" s="358" customFormat="1" ht="11.25"/>
    <row r="43" s="358" customFormat="1" ht="11.25"/>
    <row r="44" s="358" customFormat="1" ht="11.25"/>
    <row r="45" s="358" customFormat="1" ht="11.25"/>
    <row r="46" s="358" customFormat="1" ht="11.25"/>
    <row r="47" s="358" customFormat="1" ht="11.25"/>
    <row r="48" s="358" customFormat="1" ht="11.25"/>
    <row r="49" s="358" customFormat="1" ht="11.25"/>
    <row r="50" s="358" customFormat="1" ht="11.25"/>
    <row r="51" s="358" customFormat="1" ht="11.25"/>
    <row r="52" s="358" customFormat="1" ht="11.25"/>
    <row r="53" s="358" customFormat="1" ht="11.25"/>
    <row r="54" s="358" customFormat="1" ht="11.25"/>
    <row r="55" s="358" customFormat="1" ht="11.25"/>
    <row r="56" s="358" customFormat="1" ht="11.25"/>
    <row r="57" s="358" customFormat="1" ht="11.25"/>
    <row r="58" s="358" customFormat="1" ht="11.25"/>
    <row r="59" s="358" customFormat="1" ht="11.25"/>
    <row r="60" s="358" customFormat="1" ht="11.25"/>
    <row r="61" s="358" customFormat="1" ht="11.25"/>
    <row r="62" s="358" customFormat="1" ht="11.25"/>
    <row r="63" s="358" customFormat="1" ht="11.25"/>
    <row r="64" s="358" customFormat="1" ht="11.25"/>
    <row r="65" s="358" customFormat="1" ht="11.25"/>
    <row r="66" s="358" customFormat="1" ht="11.25"/>
    <row r="67" s="358" customFormat="1" ht="11.25"/>
    <row r="68" s="358" customFormat="1" ht="11.25"/>
    <row r="69" s="358" customFormat="1" ht="11.25"/>
    <row r="70" s="358" customFormat="1" ht="11.25"/>
    <row r="71" s="358" customFormat="1" ht="11.25"/>
    <row r="72" s="358" customFormat="1" ht="11.25"/>
    <row r="73" s="358" customFormat="1" ht="11.25"/>
    <row r="74" s="358" customFormat="1" ht="11.25"/>
    <row r="75" s="358" customFormat="1" ht="11.25"/>
    <row r="76" s="358" customFormat="1" ht="11.25"/>
    <row r="77" s="358" customFormat="1" ht="11.25"/>
    <row r="78" s="358" customFormat="1" ht="11.25"/>
    <row r="79" s="358" customFormat="1" ht="11.25"/>
    <row r="80" s="358" customFormat="1" ht="11.25"/>
    <row r="81" s="358" customFormat="1" ht="11.25"/>
    <row r="82" s="358" customFormat="1" ht="11.25"/>
    <row r="83" s="358" customFormat="1" ht="11.25"/>
    <row r="84" s="358" customFormat="1" ht="11.25"/>
    <row r="85" s="358" customFormat="1" ht="11.25"/>
    <row r="86" s="358" customFormat="1" ht="11.25"/>
    <row r="87" s="358" customFormat="1" ht="11.25"/>
    <row r="88" s="358" customFormat="1" ht="11.25"/>
    <row r="89" s="358" customFormat="1" ht="11.25"/>
    <row r="90" s="358" customFormat="1" ht="11.25"/>
    <row r="91" s="358" customFormat="1" ht="11.25"/>
    <row r="92" s="358" customFormat="1" ht="11.25"/>
    <row r="93" s="358" customFormat="1" ht="11.25"/>
    <row r="94" s="358" customFormat="1" ht="11.25"/>
    <row r="95" s="358" customFormat="1" ht="11.25"/>
    <row r="96" s="358" customFormat="1" ht="11.25"/>
    <row r="97" s="358" customFormat="1" ht="11.25"/>
    <row r="98" s="358" customFormat="1" ht="11.25"/>
    <row r="99" s="358" customFormat="1" ht="11.25"/>
    <row r="100" s="358" customFormat="1" ht="11.25"/>
    <row r="101" s="358" customFormat="1" ht="11.25"/>
    <row r="102" s="358" customFormat="1" ht="11.25"/>
    <row r="103" s="358" customFormat="1" ht="11.25"/>
    <row r="104" s="358" customFormat="1" ht="11.25"/>
    <row r="105" s="358" customFormat="1" ht="11.25"/>
    <row r="106" s="358" customFormat="1" ht="11.25"/>
    <row r="107" s="358" customFormat="1" ht="11.25"/>
    <row r="108" s="358" customFormat="1" ht="11.25"/>
    <row r="109" s="358" customFormat="1" ht="11.25"/>
    <row r="110" s="358" customFormat="1" ht="11.25"/>
    <row r="111" s="358" customFormat="1" ht="11.25"/>
    <row r="112" s="358" customFormat="1" ht="11.25"/>
    <row r="113" s="358" customFormat="1" ht="11.25"/>
    <row r="114" s="358" customFormat="1" ht="11.25"/>
    <row r="115" s="358" customFormat="1" ht="11.25"/>
  </sheetData>
  <sheetProtection/>
  <mergeCells count="2">
    <mergeCell ref="A32:B32"/>
    <mergeCell ref="A1:E1"/>
  </mergeCells>
  <hyperlinks>
    <hyperlink ref="J6" r:id="rId1" display="http://encyclopedia.airliquide.com/encyclopedia.asp?GasID=1"/>
    <hyperlink ref="D4" r:id="rId2" display="http://www.uigi.com/carbondioxide.html"/>
    <hyperlink ref="J9" r:id="rId3" display="http://www.uigi.com/carbondioxide.html"/>
  </hyperlinks>
  <printOptions/>
  <pageMargins left="0.75" right="0.75" top="1" bottom="1" header="0.5" footer="0.5"/>
  <pageSetup orientation="portrait" paperSize="9"/>
  <drawing r:id="rId4"/>
</worksheet>
</file>

<file path=xl/worksheets/sheet16.xml><?xml version="1.0" encoding="utf-8"?>
<worksheet xmlns="http://schemas.openxmlformats.org/spreadsheetml/2006/main" xmlns:r="http://schemas.openxmlformats.org/officeDocument/2006/relationships">
  <sheetPr codeName="Sheet5">
    <pageSetUpPr fitToPage="1"/>
  </sheetPr>
  <dimension ref="A2:K63"/>
  <sheetViews>
    <sheetView zoomScale="85" zoomScaleNormal="85" workbookViewId="0" topLeftCell="A1">
      <selection activeCell="A1" sqref="A1"/>
    </sheetView>
  </sheetViews>
  <sheetFormatPr defaultColWidth="9.140625" defaultRowHeight="12.75"/>
  <cols>
    <col min="1" max="2" width="5.7109375" style="24" customWidth="1"/>
    <col min="3" max="3" width="23.57421875" style="24" customWidth="1"/>
    <col min="4" max="4" width="19.8515625" style="24" customWidth="1"/>
    <col min="5" max="5" width="17.57421875" style="24" customWidth="1"/>
    <col min="6" max="6" width="15.7109375" style="24" customWidth="1"/>
    <col min="7" max="8" width="13.28125" style="24" customWidth="1"/>
    <col min="9" max="9" width="5.7109375" style="24" customWidth="1"/>
    <col min="10" max="16384" width="9.140625" style="24" customWidth="1"/>
  </cols>
  <sheetData>
    <row r="2" spans="1:9" ht="18.75">
      <c r="A2" s="23"/>
      <c r="B2" s="680" t="s">
        <v>343</v>
      </c>
      <c r="C2" s="681"/>
      <c r="D2" s="681"/>
      <c r="E2" s="681"/>
      <c r="F2" s="681"/>
      <c r="G2" s="681"/>
      <c r="H2" s="681"/>
      <c r="I2" s="682"/>
    </row>
    <row r="3" spans="1:10" ht="16.5">
      <c r="A3" s="23"/>
      <c r="B3" s="25"/>
      <c r="C3" s="26"/>
      <c r="D3" s="26"/>
      <c r="E3" s="26"/>
      <c r="F3" s="26"/>
      <c r="G3" s="26"/>
      <c r="H3" s="26"/>
      <c r="I3" s="27"/>
      <c r="J3" s="28"/>
    </row>
    <row r="4" spans="1:10" ht="18">
      <c r="A4" s="23"/>
      <c r="B4" s="29"/>
      <c r="C4" s="678" t="s">
        <v>344</v>
      </c>
      <c r="D4" s="679"/>
      <c r="E4" s="679"/>
      <c r="F4" s="679"/>
      <c r="G4" s="30"/>
      <c r="H4" s="30"/>
      <c r="I4" s="31"/>
      <c r="J4" s="28"/>
    </row>
    <row r="5" spans="1:10" ht="18">
      <c r="A5" s="23"/>
      <c r="B5" s="29"/>
      <c r="C5" s="32"/>
      <c r="D5" s="22"/>
      <c r="E5" s="22"/>
      <c r="F5" s="22"/>
      <c r="G5" s="30"/>
      <c r="H5" s="30"/>
      <c r="I5" s="31"/>
      <c r="J5" s="28"/>
    </row>
    <row r="6" spans="1:10" ht="18">
      <c r="A6" s="23"/>
      <c r="B6" s="29"/>
      <c r="C6" s="33" t="s">
        <v>345</v>
      </c>
      <c r="D6" s="30"/>
      <c r="E6" s="30"/>
      <c r="F6" s="30"/>
      <c r="G6" s="30"/>
      <c r="H6" s="30"/>
      <c r="I6" s="31"/>
      <c r="J6" s="28"/>
    </row>
    <row r="7" spans="1:10" ht="38.25" customHeight="1">
      <c r="A7" s="23"/>
      <c r="B7" s="29"/>
      <c r="C7" s="34" t="s">
        <v>272</v>
      </c>
      <c r="D7" s="35" t="s">
        <v>373</v>
      </c>
      <c r="E7" s="35" t="s">
        <v>374</v>
      </c>
      <c r="F7" s="35" t="s">
        <v>375</v>
      </c>
      <c r="G7" s="36"/>
      <c r="H7" s="36"/>
      <c r="I7" s="31"/>
      <c r="J7" s="28"/>
    </row>
    <row r="8" spans="1:10" ht="16.5">
      <c r="A8" s="23"/>
      <c r="B8" s="29"/>
      <c r="C8" s="37" t="s">
        <v>278</v>
      </c>
      <c r="D8" s="38">
        <v>18.355</v>
      </c>
      <c r="E8" s="39">
        <f aca="true" t="shared" si="0" ref="E8:E16">D8*0.4536</f>
        <v>8.325828</v>
      </c>
      <c r="F8" s="39">
        <f aca="true" t="shared" si="1" ref="F8:F16">E8/3.785</f>
        <v>2.19969035667107</v>
      </c>
      <c r="G8" s="40"/>
      <c r="H8" s="40"/>
      <c r="I8" s="31"/>
      <c r="J8" s="28"/>
    </row>
    <row r="9" spans="1:10" ht="49.5">
      <c r="A9" s="23"/>
      <c r="B9" s="29"/>
      <c r="C9" s="37" t="s">
        <v>346</v>
      </c>
      <c r="D9" s="38">
        <v>22.384</v>
      </c>
      <c r="E9" s="39">
        <f t="shared" si="0"/>
        <v>10.1533824</v>
      </c>
      <c r="F9" s="39">
        <f t="shared" si="1"/>
        <v>2.682531677675033</v>
      </c>
      <c r="G9" s="30"/>
      <c r="H9" s="30"/>
      <c r="I9" s="31"/>
      <c r="J9" s="28"/>
    </row>
    <row r="10" spans="1:10" ht="16.5">
      <c r="A10" s="23"/>
      <c r="B10" s="29"/>
      <c r="C10" s="37" t="s">
        <v>276</v>
      </c>
      <c r="D10" s="38">
        <v>21.095</v>
      </c>
      <c r="E10" s="39">
        <f t="shared" si="0"/>
        <v>9.568692</v>
      </c>
      <c r="F10" s="39">
        <f t="shared" si="1"/>
        <v>2.5280560105680316</v>
      </c>
      <c r="G10" s="30"/>
      <c r="H10" s="30"/>
      <c r="I10" s="31"/>
      <c r="J10" s="28"/>
    </row>
    <row r="11" spans="1:10" ht="16.5">
      <c r="A11" s="23" t="s">
        <v>77</v>
      </c>
      <c r="B11" s="29"/>
      <c r="C11" s="37" t="s">
        <v>275</v>
      </c>
      <c r="D11" s="38">
        <v>21.537</v>
      </c>
      <c r="E11" s="39">
        <f t="shared" si="0"/>
        <v>9.7691832</v>
      </c>
      <c r="F11" s="39">
        <f t="shared" si="1"/>
        <v>2.5810259445178336</v>
      </c>
      <c r="G11" s="30"/>
      <c r="H11" s="30"/>
      <c r="I11" s="31"/>
      <c r="J11" s="28"/>
    </row>
    <row r="12" spans="1:10" ht="33">
      <c r="A12" s="23"/>
      <c r="B12" s="29"/>
      <c r="C12" s="37" t="s">
        <v>347</v>
      </c>
      <c r="D12" s="38">
        <v>12.805</v>
      </c>
      <c r="E12" s="39">
        <f t="shared" si="0"/>
        <v>5.808348</v>
      </c>
      <c r="F12" s="39">
        <f t="shared" si="1"/>
        <v>1.5345701453104357</v>
      </c>
      <c r="G12" s="30"/>
      <c r="H12" s="30"/>
      <c r="I12" s="31"/>
      <c r="J12" s="28"/>
    </row>
    <row r="13" spans="1:11" ht="16.5">
      <c r="A13" s="23"/>
      <c r="B13" s="29"/>
      <c r="C13" s="37" t="s">
        <v>348</v>
      </c>
      <c r="D13" s="38">
        <v>19.564</v>
      </c>
      <c r="E13" s="39">
        <f t="shared" si="0"/>
        <v>8.8742304</v>
      </c>
      <c r="F13" s="39">
        <f t="shared" si="1"/>
        <v>2.344578705416116</v>
      </c>
      <c r="G13" s="30"/>
      <c r="H13" s="30"/>
      <c r="I13" s="31"/>
      <c r="J13" s="28"/>
      <c r="K13" s="24" t="s">
        <v>77</v>
      </c>
    </row>
    <row r="14" spans="1:10" ht="16.5">
      <c r="A14" s="23"/>
      <c r="B14" s="29"/>
      <c r="C14" s="37" t="s">
        <v>349</v>
      </c>
      <c r="D14" s="38">
        <v>32.397</v>
      </c>
      <c r="E14" s="39">
        <f t="shared" si="0"/>
        <v>14.6952792</v>
      </c>
      <c r="F14" s="39">
        <f t="shared" si="1"/>
        <v>3.8825044121532364</v>
      </c>
      <c r="G14" s="30"/>
      <c r="H14" s="30"/>
      <c r="I14" s="31"/>
      <c r="J14" s="28"/>
    </row>
    <row r="15" spans="1:10" ht="33">
      <c r="A15" s="23"/>
      <c r="B15" s="29"/>
      <c r="C15" s="37" t="s">
        <v>350</v>
      </c>
      <c r="D15" s="38">
        <v>26.03</v>
      </c>
      <c r="E15" s="39">
        <f t="shared" si="0"/>
        <v>11.807208000000001</v>
      </c>
      <c r="F15" s="39">
        <f t="shared" si="1"/>
        <v>3.1194737120211364</v>
      </c>
      <c r="G15" s="30"/>
      <c r="H15" s="30"/>
      <c r="I15" s="31"/>
      <c r="J15" s="28"/>
    </row>
    <row r="16" spans="1:10" ht="16.5">
      <c r="A16" s="23"/>
      <c r="B16" s="29"/>
      <c r="C16" s="37" t="s">
        <v>289</v>
      </c>
      <c r="D16" s="38">
        <v>12.669</v>
      </c>
      <c r="E16" s="39">
        <f t="shared" si="0"/>
        <v>5.7466584</v>
      </c>
      <c r="F16" s="39">
        <f t="shared" si="1"/>
        <v>1.5182717040951124</v>
      </c>
      <c r="G16" s="30"/>
      <c r="H16" s="30"/>
      <c r="I16" s="31"/>
      <c r="J16" s="28"/>
    </row>
    <row r="17" spans="1:10" ht="57" customHeight="1">
      <c r="A17" s="23"/>
      <c r="B17" s="29"/>
      <c r="C17" s="676" t="s">
        <v>351</v>
      </c>
      <c r="D17" s="676"/>
      <c r="E17" s="676"/>
      <c r="F17" s="676"/>
      <c r="G17" s="41"/>
      <c r="H17" s="41"/>
      <c r="I17" s="31"/>
      <c r="J17" s="28"/>
    </row>
    <row r="18" spans="1:10" ht="17.25" customHeight="1">
      <c r="A18" s="23"/>
      <c r="B18" s="29"/>
      <c r="C18" s="41"/>
      <c r="D18" s="41"/>
      <c r="E18" s="41"/>
      <c r="F18" s="41"/>
      <c r="G18" s="41"/>
      <c r="H18" s="41"/>
      <c r="I18" s="31"/>
      <c r="J18" s="28"/>
    </row>
    <row r="19" spans="1:10" ht="18">
      <c r="A19" s="23"/>
      <c r="B19" s="29"/>
      <c r="C19" s="33" t="s">
        <v>352</v>
      </c>
      <c r="D19" s="30"/>
      <c r="E19" s="30"/>
      <c r="F19" s="30"/>
      <c r="G19" s="30"/>
      <c r="H19" s="30"/>
      <c r="I19" s="31"/>
      <c r="J19" s="28"/>
    </row>
    <row r="20" spans="1:10" ht="39" customHeight="1">
      <c r="A20" s="23"/>
      <c r="B20" s="29"/>
      <c r="C20" s="34" t="s">
        <v>272</v>
      </c>
      <c r="D20" s="35" t="s">
        <v>375</v>
      </c>
      <c r="E20" s="35" t="s">
        <v>376</v>
      </c>
      <c r="F20" s="42"/>
      <c r="G20" s="36"/>
      <c r="H20" s="36"/>
      <c r="I20" s="31"/>
      <c r="J20" s="28"/>
    </row>
    <row r="21" spans="1:10" ht="16.5">
      <c r="A21" s="23"/>
      <c r="B21" s="29"/>
      <c r="C21" s="37" t="s">
        <v>353</v>
      </c>
      <c r="D21" s="38">
        <v>2.69</v>
      </c>
      <c r="E21" s="39">
        <f aca="true" t="shared" si="2" ref="E21:E26">D21*3.785</f>
        <v>10.18165</v>
      </c>
      <c r="F21" s="43"/>
      <c r="G21" s="40"/>
      <c r="H21" s="40"/>
      <c r="I21" s="31"/>
      <c r="J21" s="28"/>
    </row>
    <row r="22" spans="1:10" ht="16.5">
      <c r="A22" s="23"/>
      <c r="B22" s="29"/>
      <c r="C22" s="37" t="s">
        <v>259</v>
      </c>
      <c r="D22" s="38">
        <v>2.63</v>
      </c>
      <c r="E22" s="39">
        <f t="shared" si="2"/>
        <v>9.95455</v>
      </c>
      <c r="F22" s="43"/>
      <c r="G22" s="30"/>
      <c r="H22" s="30"/>
      <c r="I22" s="31"/>
      <c r="J22" s="28"/>
    </row>
    <row r="23" spans="1:10" ht="16.5">
      <c r="A23" s="23"/>
      <c r="B23" s="29"/>
      <c r="C23" s="37" t="s">
        <v>354</v>
      </c>
      <c r="D23" s="38">
        <v>2.3</v>
      </c>
      <c r="E23" s="39">
        <f t="shared" si="2"/>
        <v>8.705499999999999</v>
      </c>
      <c r="F23" s="43"/>
      <c r="G23" s="30"/>
      <c r="H23" s="30"/>
      <c r="I23" s="31"/>
      <c r="J23" s="28"/>
    </row>
    <row r="24" spans="1:10" ht="33">
      <c r="A24" s="23"/>
      <c r="B24" s="29"/>
      <c r="C24" s="37" t="s">
        <v>347</v>
      </c>
      <c r="D24" s="38">
        <v>1.49</v>
      </c>
      <c r="E24" s="39">
        <f t="shared" si="2"/>
        <v>5.6396500000000005</v>
      </c>
      <c r="F24" s="43"/>
      <c r="G24" s="30"/>
      <c r="H24" s="30"/>
      <c r="I24" s="31"/>
      <c r="J24" s="28"/>
    </row>
    <row r="25" spans="1:10" ht="16.5">
      <c r="A25" s="23"/>
      <c r="B25" s="29"/>
      <c r="C25" s="37" t="s">
        <v>355</v>
      </c>
      <c r="D25" s="38">
        <v>2.24</v>
      </c>
      <c r="E25" s="39">
        <f t="shared" si="2"/>
        <v>8.4784</v>
      </c>
      <c r="F25" s="43"/>
      <c r="G25" s="30"/>
      <c r="H25" s="30"/>
      <c r="I25" s="31"/>
      <c r="J25" s="28"/>
    </row>
    <row r="26" spans="1:10" ht="16.5">
      <c r="A26" s="23"/>
      <c r="B26" s="29"/>
      <c r="C26" s="37" t="s">
        <v>356</v>
      </c>
      <c r="D26" s="38">
        <v>2.52</v>
      </c>
      <c r="E26" s="39">
        <f t="shared" si="2"/>
        <v>9.5382</v>
      </c>
      <c r="F26" s="43"/>
      <c r="G26" s="30"/>
      <c r="H26" s="30"/>
      <c r="I26" s="31"/>
      <c r="J26" s="28"/>
    </row>
    <row r="27" spans="1:10" ht="56.25" customHeight="1">
      <c r="A27" s="23"/>
      <c r="B27" s="29"/>
      <c r="C27" s="676" t="s">
        <v>357</v>
      </c>
      <c r="D27" s="676"/>
      <c r="E27" s="676"/>
      <c r="F27" s="677"/>
      <c r="G27" s="41"/>
      <c r="H27" s="41"/>
      <c r="I27" s="31"/>
      <c r="J27" s="28"/>
    </row>
    <row r="28" spans="1:10" ht="16.5">
      <c r="A28" s="23"/>
      <c r="B28" s="44"/>
      <c r="C28" s="45"/>
      <c r="D28" s="45"/>
      <c r="E28" s="45"/>
      <c r="F28" s="46"/>
      <c r="G28" s="45"/>
      <c r="H28" s="45"/>
      <c r="I28" s="31" t="s">
        <v>77</v>
      </c>
      <c r="J28" s="28"/>
    </row>
    <row r="29" spans="1:10" ht="18">
      <c r="A29" s="23"/>
      <c r="B29" s="47"/>
      <c r="C29" s="48" t="s">
        <v>358</v>
      </c>
      <c r="D29" s="45"/>
      <c r="E29" s="45"/>
      <c r="F29" s="46"/>
      <c r="G29" s="45"/>
      <c r="H29" s="45"/>
      <c r="I29" s="31"/>
      <c r="J29" s="28"/>
    </row>
    <row r="30" spans="1:10" ht="18">
      <c r="A30" s="23"/>
      <c r="B30" s="47" t="s">
        <v>77</v>
      </c>
      <c r="C30" s="48"/>
      <c r="D30" s="45"/>
      <c r="E30" s="45"/>
      <c r="F30" s="46"/>
      <c r="G30" s="45"/>
      <c r="H30" s="45"/>
      <c r="I30" s="31"/>
      <c r="J30" s="28"/>
    </row>
    <row r="31" spans="1:10" ht="18">
      <c r="A31" s="23"/>
      <c r="B31" s="49"/>
      <c r="C31" s="33" t="s">
        <v>345</v>
      </c>
      <c r="D31" s="45"/>
      <c r="E31" s="45"/>
      <c r="F31" s="46"/>
      <c r="G31" s="45"/>
      <c r="H31" s="45"/>
      <c r="I31" s="31"/>
      <c r="J31" s="28"/>
    </row>
    <row r="32" spans="1:10" ht="39" customHeight="1">
      <c r="A32" s="23"/>
      <c r="B32" s="44"/>
      <c r="C32" s="34" t="s">
        <v>272</v>
      </c>
      <c r="D32" s="35" t="s">
        <v>377</v>
      </c>
      <c r="E32" s="35" t="s">
        <v>378</v>
      </c>
      <c r="F32" s="35" t="s">
        <v>379</v>
      </c>
      <c r="G32" s="45"/>
      <c r="H32" s="45"/>
      <c r="I32" s="31"/>
      <c r="J32" s="28"/>
    </row>
    <row r="33" spans="1:10" ht="16.5">
      <c r="A33" s="23"/>
      <c r="B33" s="44"/>
      <c r="C33" s="50" t="s">
        <v>359</v>
      </c>
      <c r="D33" s="51">
        <v>116.376</v>
      </c>
      <c r="E33" s="51">
        <f>D33*0.4536/10</f>
        <v>5.27881536</v>
      </c>
      <c r="F33" s="51">
        <f>E33/1.03</f>
        <v>5.12506345631068</v>
      </c>
      <c r="G33" s="45"/>
      <c r="H33" s="45"/>
      <c r="I33" s="31"/>
      <c r="J33" s="28"/>
    </row>
    <row r="34" spans="1:10" ht="16.5">
      <c r="A34" s="23"/>
      <c r="B34" s="44"/>
      <c r="C34" s="50" t="s">
        <v>360</v>
      </c>
      <c r="D34" s="51">
        <v>133.759</v>
      </c>
      <c r="E34" s="51">
        <f>D34*0.4536/10</f>
        <v>6.067308239999999</v>
      </c>
      <c r="F34" s="51">
        <f>E34/1.03</f>
        <v>5.890590524271843</v>
      </c>
      <c r="G34" s="45"/>
      <c r="H34" s="45"/>
      <c r="I34" s="31"/>
      <c r="J34" s="28"/>
    </row>
    <row r="35" spans="1:10" ht="16.5">
      <c r="A35" s="23"/>
      <c r="B35" s="44"/>
      <c r="C35" s="50" t="s">
        <v>361</v>
      </c>
      <c r="D35" s="51">
        <v>120.593</v>
      </c>
      <c r="E35" s="51">
        <f>D35*0.4536/10</f>
        <v>5.47009848</v>
      </c>
      <c r="F35" s="51">
        <f>E35/1.03</f>
        <v>5.31077522330097</v>
      </c>
      <c r="G35" s="45"/>
      <c r="H35" s="45"/>
      <c r="I35" s="31"/>
      <c r="J35" s="28"/>
    </row>
    <row r="36" spans="1:10" ht="50.25" customHeight="1">
      <c r="A36" s="23"/>
      <c r="B36" s="44" t="s">
        <v>77</v>
      </c>
      <c r="C36" s="683" t="s">
        <v>362</v>
      </c>
      <c r="D36" s="684"/>
      <c r="E36" s="684"/>
      <c r="F36" s="684"/>
      <c r="G36" s="45"/>
      <c r="H36" s="45"/>
      <c r="I36" s="31"/>
      <c r="J36" s="28"/>
    </row>
    <row r="37" spans="1:10" ht="18.75" customHeight="1">
      <c r="A37" s="23"/>
      <c r="B37" s="44"/>
      <c r="C37" s="52"/>
      <c r="D37" s="53"/>
      <c r="E37" s="53"/>
      <c r="F37" s="53"/>
      <c r="G37" s="45"/>
      <c r="H37" s="45"/>
      <c r="I37" s="31"/>
      <c r="J37" s="28"/>
    </row>
    <row r="38" spans="1:10" ht="18">
      <c r="A38" s="23"/>
      <c r="B38" s="49"/>
      <c r="C38" s="33" t="s">
        <v>352</v>
      </c>
      <c r="D38" s="45"/>
      <c r="E38" s="45"/>
      <c r="F38" s="46"/>
      <c r="G38" s="45"/>
      <c r="H38" s="45"/>
      <c r="I38" s="31"/>
      <c r="J38" s="28"/>
    </row>
    <row r="39" spans="1:10" ht="39.75" customHeight="1">
      <c r="A39" s="23"/>
      <c r="B39" s="44"/>
      <c r="C39" s="34" t="s">
        <v>272</v>
      </c>
      <c r="D39" s="35" t="s">
        <v>379</v>
      </c>
      <c r="E39" s="35" t="s">
        <v>378</v>
      </c>
      <c r="F39" s="42"/>
      <c r="G39" s="45"/>
      <c r="H39" s="45"/>
      <c r="I39" s="31"/>
      <c r="J39" s="28"/>
    </row>
    <row r="40" spans="1:10" ht="16.5">
      <c r="A40" s="23"/>
      <c r="B40" s="44"/>
      <c r="C40" s="50" t="s">
        <v>363</v>
      </c>
      <c r="D40" s="51">
        <v>5.43</v>
      </c>
      <c r="E40" s="51">
        <f>D40*1.03</f>
        <v>5.5929</v>
      </c>
      <c r="F40" s="54"/>
      <c r="G40" s="45"/>
      <c r="H40" s="45"/>
      <c r="I40" s="31"/>
      <c r="J40" s="28"/>
    </row>
    <row r="41" spans="1:10" ht="52.5" customHeight="1">
      <c r="A41" s="23"/>
      <c r="B41" s="44"/>
      <c r="C41" s="676" t="s">
        <v>364</v>
      </c>
      <c r="D41" s="676"/>
      <c r="E41" s="676"/>
      <c r="F41" s="677"/>
      <c r="G41" s="45"/>
      <c r="H41" s="45"/>
      <c r="I41" s="31"/>
      <c r="J41" s="28"/>
    </row>
    <row r="42" spans="1:10" ht="18.75" customHeight="1">
      <c r="A42" s="23"/>
      <c r="B42" s="44"/>
      <c r="C42" s="52"/>
      <c r="D42" s="53"/>
      <c r="E42" s="53"/>
      <c r="F42" s="53"/>
      <c r="G42" s="45"/>
      <c r="H42" s="45"/>
      <c r="I42" s="31"/>
      <c r="J42" s="28"/>
    </row>
    <row r="43" spans="1:10" ht="18">
      <c r="A43" s="23"/>
      <c r="B43" s="44"/>
      <c r="C43" s="48" t="s">
        <v>365</v>
      </c>
      <c r="D43" s="45"/>
      <c r="E43" s="45"/>
      <c r="F43" s="46"/>
      <c r="G43" s="45"/>
      <c r="H43" s="45"/>
      <c r="I43" s="31"/>
      <c r="J43" s="28"/>
    </row>
    <row r="44" spans="1:10" ht="18">
      <c r="A44" s="23"/>
      <c r="B44" s="44"/>
      <c r="C44" s="48"/>
      <c r="D44" s="45"/>
      <c r="E44" s="45"/>
      <c r="F44" s="46"/>
      <c r="G44" s="45"/>
      <c r="H44" s="45"/>
      <c r="I44" s="31"/>
      <c r="J44" s="28"/>
    </row>
    <row r="45" spans="1:10" ht="18">
      <c r="A45" s="23"/>
      <c r="B45" s="47"/>
      <c r="C45" s="33" t="s">
        <v>345</v>
      </c>
      <c r="D45" s="45"/>
      <c r="E45" s="45"/>
      <c r="F45" s="46" t="s">
        <v>77</v>
      </c>
      <c r="G45" s="45"/>
      <c r="H45" s="45"/>
      <c r="I45" s="31"/>
      <c r="J45" s="28"/>
    </row>
    <row r="46" spans="1:10" ht="38.25" customHeight="1">
      <c r="A46" s="23"/>
      <c r="B46" s="44"/>
      <c r="C46" s="55" t="s">
        <v>272</v>
      </c>
      <c r="D46" s="35" t="s">
        <v>380</v>
      </c>
      <c r="E46" s="35" t="s">
        <v>381</v>
      </c>
      <c r="F46" s="56" t="s">
        <v>382</v>
      </c>
      <c r="G46" s="56" t="s">
        <v>383</v>
      </c>
      <c r="H46" s="56" t="s">
        <v>384</v>
      </c>
      <c r="I46" s="31"/>
      <c r="J46" s="28"/>
    </row>
    <row r="47" spans="1:10" ht="16.5">
      <c r="A47" s="23"/>
      <c r="B47" s="44"/>
      <c r="C47" s="57" t="s">
        <v>366</v>
      </c>
      <c r="D47" s="58">
        <v>3852.16</v>
      </c>
      <c r="E47" s="58">
        <f>D47*0.4536</f>
        <v>1747.339776</v>
      </c>
      <c r="F47" s="59">
        <f>E47/2000</f>
        <v>0.873669888</v>
      </c>
      <c r="G47" s="58">
        <f>E47*1.102</f>
        <v>1925.5684331520001</v>
      </c>
      <c r="H47" s="60">
        <f>E47/907.2</f>
        <v>1.92608</v>
      </c>
      <c r="I47" s="31"/>
      <c r="J47" s="28"/>
    </row>
    <row r="48" spans="1:10" ht="16.5">
      <c r="A48" s="23"/>
      <c r="B48" s="44"/>
      <c r="C48" s="57" t="s">
        <v>367</v>
      </c>
      <c r="D48" s="58">
        <v>4961.3</v>
      </c>
      <c r="E48" s="58">
        <f>D48*0.4536</f>
        <v>2250.4456800000003</v>
      </c>
      <c r="F48" s="59">
        <f>E48/2000</f>
        <v>1.1252228400000002</v>
      </c>
      <c r="G48" s="58">
        <f>E48*1.102</f>
        <v>2479.9911393600005</v>
      </c>
      <c r="H48" s="60">
        <f>E48/907.2</f>
        <v>2.4806500000000002</v>
      </c>
      <c r="I48" s="31"/>
      <c r="J48" s="28"/>
    </row>
    <row r="49" spans="1:10" ht="16.5">
      <c r="A49" s="23"/>
      <c r="B49" s="44"/>
      <c r="C49" s="57" t="s">
        <v>368</v>
      </c>
      <c r="D49" s="58">
        <v>3715.9</v>
      </c>
      <c r="E49" s="58">
        <f>D49*0.4536</f>
        <v>1685.53224</v>
      </c>
      <c r="F49" s="59">
        <f>E49/2000</f>
        <v>0.84276612</v>
      </c>
      <c r="G49" s="58">
        <f>E49*1.102</f>
        <v>1857.45652848</v>
      </c>
      <c r="H49" s="60">
        <f>E49/907.2</f>
        <v>1.85795</v>
      </c>
      <c r="I49" s="31"/>
      <c r="J49" s="28"/>
    </row>
    <row r="50" spans="1:10" ht="16.5">
      <c r="A50" s="23"/>
      <c r="B50" s="44"/>
      <c r="C50" s="57" t="s">
        <v>369</v>
      </c>
      <c r="D50" s="58">
        <v>2791.6</v>
      </c>
      <c r="E50" s="58">
        <f>D50*0.4536</f>
        <v>1266.26976</v>
      </c>
      <c r="F50" s="59">
        <f>E50/2000</f>
        <v>0.63313488</v>
      </c>
      <c r="G50" s="58">
        <f>E50*1.102</f>
        <v>1395.42927552</v>
      </c>
      <c r="H50" s="60">
        <f>E50/907.2</f>
        <v>1.3958</v>
      </c>
      <c r="I50" s="31"/>
      <c r="J50" s="28"/>
    </row>
    <row r="51" spans="1:10" ht="16.5">
      <c r="A51" s="23"/>
      <c r="B51" s="44"/>
      <c r="C51" s="675" t="s">
        <v>370</v>
      </c>
      <c r="D51" s="675"/>
      <c r="E51" s="675"/>
      <c r="F51" s="675"/>
      <c r="G51" s="675"/>
      <c r="H51" s="61"/>
      <c r="I51" s="31"/>
      <c r="J51" s="28"/>
    </row>
    <row r="52" spans="1:10" ht="16.5">
      <c r="A52" s="23"/>
      <c r="B52" s="44"/>
      <c r="C52" s="675"/>
      <c r="D52" s="675"/>
      <c r="E52" s="675"/>
      <c r="F52" s="675"/>
      <c r="G52" s="675"/>
      <c r="H52" s="61"/>
      <c r="I52" s="31"/>
      <c r="J52" s="28"/>
    </row>
    <row r="53" spans="1:10" ht="16.5">
      <c r="A53" s="23"/>
      <c r="B53" s="44"/>
      <c r="C53" s="675"/>
      <c r="D53" s="675"/>
      <c r="E53" s="675"/>
      <c r="F53" s="675"/>
      <c r="G53" s="675"/>
      <c r="H53" s="61"/>
      <c r="I53" s="31"/>
      <c r="J53" s="28"/>
    </row>
    <row r="54" spans="2:10" ht="16.5">
      <c r="B54" s="47" t="s">
        <v>77</v>
      </c>
      <c r="C54" s="31"/>
      <c r="D54" s="31"/>
      <c r="E54" s="31"/>
      <c r="F54" s="31"/>
      <c r="G54" s="31"/>
      <c r="H54" s="31"/>
      <c r="I54" s="31"/>
      <c r="J54" s="28"/>
    </row>
    <row r="55" spans="1:10" ht="18">
      <c r="A55" s="23"/>
      <c r="B55" s="47"/>
      <c r="C55" s="33" t="s">
        <v>352</v>
      </c>
      <c r="D55" s="45"/>
      <c r="E55" s="45"/>
      <c r="F55" s="46" t="s">
        <v>77</v>
      </c>
      <c r="G55" s="45"/>
      <c r="H55" s="45"/>
      <c r="I55" s="31"/>
      <c r="J55" s="28"/>
    </row>
    <row r="56" spans="1:10" ht="38.25" customHeight="1">
      <c r="A56" s="23"/>
      <c r="B56" s="44"/>
      <c r="C56" s="55" t="s">
        <v>272</v>
      </c>
      <c r="D56" s="62" t="s">
        <v>383</v>
      </c>
      <c r="E56" s="56" t="s">
        <v>384</v>
      </c>
      <c r="F56" s="56" t="s">
        <v>381</v>
      </c>
      <c r="G56" s="56" t="s">
        <v>382</v>
      </c>
      <c r="H56" s="36"/>
      <c r="I56" s="31"/>
      <c r="J56" s="28"/>
    </row>
    <row r="57" spans="1:10" ht="16.5">
      <c r="A57" s="23"/>
      <c r="B57" s="44"/>
      <c r="C57" s="57" t="s">
        <v>267</v>
      </c>
      <c r="D57" s="58">
        <v>2548</v>
      </c>
      <c r="E57" s="59">
        <f>D57/1000</f>
        <v>2.548</v>
      </c>
      <c r="F57" s="58">
        <f>D57/1.102</f>
        <v>2312.159709618875</v>
      </c>
      <c r="G57" s="59">
        <f>F57/2000</f>
        <v>1.1560798548094373</v>
      </c>
      <c r="H57" s="63"/>
      <c r="I57" s="31"/>
      <c r="J57" s="28"/>
    </row>
    <row r="58" spans="1:10" ht="16.5">
      <c r="A58" s="23"/>
      <c r="B58" s="44"/>
      <c r="C58" s="57" t="s">
        <v>371</v>
      </c>
      <c r="D58" s="58">
        <v>2736</v>
      </c>
      <c r="E58" s="59">
        <f>D58/1000</f>
        <v>2.736</v>
      </c>
      <c r="F58" s="58">
        <f>D58/1.102</f>
        <v>2482.758620689655</v>
      </c>
      <c r="G58" s="59">
        <f>F58/2000</f>
        <v>1.2413793103448274</v>
      </c>
      <c r="H58" s="63"/>
      <c r="I58" s="31"/>
      <c r="J58" s="28"/>
    </row>
    <row r="59" spans="1:10" ht="16.5">
      <c r="A59" s="23"/>
      <c r="B59" s="44"/>
      <c r="C59" s="675" t="s">
        <v>372</v>
      </c>
      <c r="D59" s="675"/>
      <c r="E59" s="675"/>
      <c r="F59" s="675"/>
      <c r="G59" s="675"/>
      <c r="H59" s="61"/>
      <c r="I59" s="31"/>
      <c r="J59" s="28"/>
    </row>
    <row r="60" spans="1:10" ht="16.5">
      <c r="A60" s="23"/>
      <c r="B60" s="44"/>
      <c r="C60" s="675"/>
      <c r="D60" s="675"/>
      <c r="E60" s="675"/>
      <c r="F60" s="675"/>
      <c r="G60" s="675"/>
      <c r="H60" s="61"/>
      <c r="I60" s="31"/>
      <c r="J60" s="28"/>
    </row>
    <row r="61" spans="1:10" ht="16.5">
      <c r="A61" s="23"/>
      <c r="B61" s="44"/>
      <c r="C61" s="675"/>
      <c r="D61" s="675"/>
      <c r="E61" s="675"/>
      <c r="F61" s="675"/>
      <c r="G61" s="675"/>
      <c r="H61" s="61"/>
      <c r="I61" s="31"/>
      <c r="J61" s="28"/>
    </row>
    <row r="62" spans="2:10" ht="16.5">
      <c r="B62" s="47"/>
      <c r="C62" s="31"/>
      <c r="D62" s="31"/>
      <c r="E62" s="31"/>
      <c r="F62" s="31"/>
      <c r="G62" s="31"/>
      <c r="H62" s="31"/>
      <c r="I62" s="31"/>
      <c r="J62" s="28"/>
    </row>
    <row r="63" spans="2:10" ht="16.5">
      <c r="B63" s="64"/>
      <c r="C63" s="65"/>
      <c r="D63" s="65"/>
      <c r="E63" s="65"/>
      <c r="F63" s="65"/>
      <c r="G63" s="65"/>
      <c r="H63" s="65"/>
      <c r="I63" s="65"/>
      <c r="J63" s="28"/>
    </row>
  </sheetData>
  <sheetProtection/>
  <mergeCells count="8">
    <mergeCell ref="B2:I2"/>
    <mergeCell ref="C17:F17"/>
    <mergeCell ref="C27:F27"/>
    <mergeCell ref="C36:F36"/>
    <mergeCell ref="C59:G61"/>
    <mergeCell ref="C41:F41"/>
    <mergeCell ref="C51:G53"/>
    <mergeCell ref="C4:F4"/>
  </mergeCells>
  <printOptions/>
  <pageMargins left="0.75" right="0.75" top="1" bottom="1" header="0.5" footer="0.5"/>
  <pageSetup fitToHeight="1" fitToWidth="1" horizontalDpi="600" verticalDpi="600" orientation="landscape" scale="33" r:id="rId1"/>
</worksheet>
</file>

<file path=xl/worksheets/sheet2.xml><?xml version="1.0" encoding="utf-8"?>
<worksheet xmlns="http://schemas.openxmlformats.org/spreadsheetml/2006/main" xmlns:r="http://schemas.openxmlformats.org/officeDocument/2006/relationships">
  <sheetPr codeName="Sheet16"/>
  <dimension ref="B1:P90"/>
  <sheetViews>
    <sheetView showGridLines="0"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3.00390625" style="66" customWidth="1"/>
    <col min="2" max="16384" width="9.140625" style="66" customWidth="1"/>
  </cols>
  <sheetData>
    <row r="1" s="525" customFormat="1" ht="44.25" customHeight="1" thickBot="1" thickTop="1">
      <c r="B1" s="525" t="s">
        <v>1057</v>
      </c>
    </row>
    <row r="2" spans="2:16" s="282" customFormat="1" ht="6.75" customHeight="1" thickTop="1">
      <c r="B2" s="210"/>
      <c r="C2" s="210"/>
      <c r="D2" s="210"/>
      <c r="E2" s="210"/>
      <c r="F2" s="210"/>
      <c r="G2" s="210"/>
      <c r="H2" s="210"/>
      <c r="I2" s="210"/>
      <c r="J2" s="210"/>
      <c r="K2" s="210"/>
      <c r="L2" s="210"/>
      <c r="M2" s="210"/>
      <c r="N2" s="210"/>
      <c r="O2" s="210"/>
      <c r="P2" s="210"/>
    </row>
    <row r="3" spans="2:16" s="282" customFormat="1" ht="66" customHeight="1">
      <c r="B3" s="646" t="s">
        <v>72</v>
      </c>
      <c r="C3" s="646"/>
      <c r="D3" s="646"/>
      <c r="E3" s="646"/>
      <c r="F3" s="646"/>
      <c r="G3" s="646"/>
      <c r="H3" s="646"/>
      <c r="I3" s="646"/>
      <c r="J3" s="646"/>
      <c r="K3" s="646"/>
      <c r="L3" s="646"/>
      <c r="M3" s="646"/>
      <c r="N3" s="646"/>
      <c r="O3" s="646"/>
      <c r="P3" s="210"/>
    </row>
    <row r="4" spans="2:16" s="282" customFormat="1" ht="6.75" customHeight="1">
      <c r="B4" s="210"/>
      <c r="C4" s="210"/>
      <c r="D4" s="210"/>
      <c r="E4" s="210"/>
      <c r="F4" s="210"/>
      <c r="G4" s="210"/>
      <c r="H4" s="210"/>
      <c r="I4" s="210"/>
      <c r="J4" s="210"/>
      <c r="K4" s="210"/>
      <c r="L4" s="210"/>
      <c r="M4" s="210"/>
      <c r="N4" s="210"/>
      <c r="O4" s="210"/>
      <c r="P4" s="210"/>
    </row>
    <row r="5" spans="2:16" s="282" customFormat="1" ht="84.75" customHeight="1">
      <c r="B5" s="646" t="s">
        <v>60</v>
      </c>
      <c r="C5" s="646"/>
      <c r="D5" s="646"/>
      <c r="E5" s="646"/>
      <c r="F5" s="646"/>
      <c r="G5" s="646"/>
      <c r="H5" s="646"/>
      <c r="I5" s="646"/>
      <c r="J5" s="646"/>
      <c r="K5" s="646"/>
      <c r="L5" s="646"/>
      <c r="M5" s="646"/>
      <c r="N5" s="646"/>
      <c r="O5" s="646"/>
      <c r="P5" s="210"/>
    </row>
    <row r="6" spans="2:16" s="282" customFormat="1" ht="6" customHeight="1">
      <c r="B6" s="210"/>
      <c r="C6" s="210"/>
      <c r="D6" s="210"/>
      <c r="E6" s="210"/>
      <c r="F6" s="210"/>
      <c r="G6" s="210"/>
      <c r="H6" s="210"/>
      <c r="I6" s="210"/>
      <c r="J6" s="210"/>
      <c r="K6" s="210"/>
      <c r="L6" s="210"/>
      <c r="M6" s="210"/>
      <c r="N6" s="210"/>
      <c r="O6" s="210"/>
      <c r="P6" s="210"/>
    </row>
    <row r="7" spans="2:16" s="282" customFormat="1" ht="12.75">
      <c r="B7" s="210"/>
      <c r="C7" s="210"/>
      <c r="D7" s="210"/>
      <c r="E7" s="210"/>
      <c r="F7" s="210"/>
      <c r="G7" s="210"/>
      <c r="H7" s="210"/>
      <c r="I7" s="210"/>
      <c r="J7" s="210"/>
      <c r="K7" s="210"/>
      <c r="L7" s="507" t="s">
        <v>61</v>
      </c>
      <c r="M7" s="210"/>
      <c r="N7" s="210"/>
      <c r="O7" s="210"/>
      <c r="P7" s="210"/>
    </row>
    <row r="8" spans="2:16" s="282" customFormat="1" ht="12.75">
      <c r="B8" s="210"/>
      <c r="C8" s="210"/>
      <c r="D8" s="210"/>
      <c r="E8" s="210"/>
      <c r="F8" s="210"/>
      <c r="G8" s="210"/>
      <c r="H8" s="210"/>
      <c r="I8" s="210"/>
      <c r="J8" s="210"/>
      <c r="K8" s="210"/>
      <c r="L8" s="210"/>
      <c r="M8" s="210"/>
      <c r="N8" s="210"/>
      <c r="O8" s="210"/>
      <c r="P8" s="210"/>
    </row>
    <row r="9" spans="2:16" s="282" customFormat="1" ht="30" customHeight="1">
      <c r="B9" s="646" t="s">
        <v>74</v>
      </c>
      <c r="C9" s="646"/>
      <c r="D9" s="646"/>
      <c r="E9" s="646"/>
      <c r="F9" s="646"/>
      <c r="G9" s="646"/>
      <c r="H9" s="646"/>
      <c r="I9" s="646"/>
      <c r="J9" s="646"/>
      <c r="K9" s="646"/>
      <c r="L9" s="646"/>
      <c r="M9" s="646"/>
      <c r="N9" s="646"/>
      <c r="O9" s="646"/>
      <c r="P9" s="210"/>
    </row>
    <row r="10" spans="2:16" s="282" customFormat="1" ht="6" customHeight="1">
      <c r="B10" s="210"/>
      <c r="C10" s="210"/>
      <c r="D10" s="210"/>
      <c r="E10" s="210"/>
      <c r="F10" s="210"/>
      <c r="G10" s="210"/>
      <c r="H10" s="210"/>
      <c r="I10" s="210"/>
      <c r="J10" s="210"/>
      <c r="K10" s="210"/>
      <c r="L10" s="210"/>
      <c r="M10" s="210"/>
      <c r="N10" s="210"/>
      <c r="O10" s="210"/>
      <c r="P10" s="210"/>
    </row>
    <row r="11" spans="2:16" s="282" customFormat="1" ht="36.75" customHeight="1">
      <c r="B11" s="646" t="s">
        <v>2</v>
      </c>
      <c r="C11" s="646"/>
      <c r="D11" s="646"/>
      <c r="E11" s="646"/>
      <c r="F11" s="646"/>
      <c r="G11" s="646"/>
      <c r="H11" s="646"/>
      <c r="I11" s="646"/>
      <c r="J11" s="646"/>
      <c r="K11" s="646"/>
      <c r="L11" s="646"/>
      <c r="M11" s="646"/>
      <c r="N11" s="646"/>
      <c r="O11" s="646"/>
      <c r="P11" s="210"/>
    </row>
    <row r="12" spans="2:16" s="282" customFormat="1" ht="4.5" customHeight="1" thickBot="1">
      <c r="B12" s="210"/>
      <c r="C12" s="210"/>
      <c r="D12" s="210"/>
      <c r="E12" s="210"/>
      <c r="F12" s="210"/>
      <c r="G12" s="210"/>
      <c r="H12" s="210"/>
      <c r="I12" s="210"/>
      <c r="J12" s="210"/>
      <c r="K12" s="210"/>
      <c r="L12" s="210"/>
      <c r="M12" s="210"/>
      <c r="N12" s="210"/>
      <c r="O12" s="210"/>
      <c r="P12" s="210"/>
    </row>
    <row r="13" s="526" customFormat="1" ht="19.5" thickBot="1" thickTop="1">
      <c r="B13" s="526" t="s">
        <v>1056</v>
      </c>
    </row>
    <row r="14" s="282" customFormat="1" ht="13.5" thickTop="1"/>
    <row r="15" s="282" customFormat="1" ht="12.75"/>
    <row r="16" s="282" customFormat="1" ht="12.75"/>
    <row r="17" s="282" customFormat="1" ht="12.75"/>
    <row r="18" s="282" customFormat="1" ht="12.75"/>
    <row r="19" s="282" customFormat="1" ht="12.75"/>
    <row r="20" s="282" customFormat="1" ht="12.75"/>
    <row r="21" s="282" customFormat="1" ht="12.75"/>
    <row r="22" s="282" customFormat="1" ht="12.75"/>
    <row r="23" s="282" customFormat="1" ht="12.75"/>
    <row r="24" s="282" customFormat="1" ht="12.75"/>
    <row r="25" s="282" customFormat="1" ht="12.75"/>
    <row r="26" s="282" customFormat="1" ht="12.75"/>
    <row r="27" s="282" customFormat="1" ht="12.75"/>
    <row r="28" s="282" customFormat="1" ht="12.75"/>
    <row r="29" s="282" customFormat="1" ht="12.75"/>
    <row r="30" s="282" customFormat="1" ht="12.75"/>
    <row r="31" s="282" customFormat="1" ht="12.75"/>
    <row r="32" s="282" customFormat="1" ht="12.75"/>
    <row r="33" s="282" customFormat="1" ht="13.5" thickBot="1"/>
    <row r="34" s="527" customFormat="1" ht="21.75" customHeight="1" thickBot="1" thickTop="1">
      <c r="B34" s="526" t="s">
        <v>990</v>
      </c>
    </row>
    <row r="35" ht="13.5" thickTop="1"/>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9" ht="13.5" thickBot="1">
      <c r="B79" s="207" t="s">
        <v>1059</v>
      </c>
    </row>
    <row r="80" spans="2:15" ht="13.5" thickBot="1">
      <c r="B80" s="378" t="s">
        <v>1060</v>
      </c>
      <c r="C80" s="379"/>
      <c r="D80" s="379"/>
      <c r="E80" s="379"/>
      <c r="F80" s="379"/>
      <c r="G80" s="379"/>
      <c r="H80" s="379"/>
      <c r="I80" s="379"/>
      <c r="J80" s="379"/>
      <c r="K80" s="379"/>
      <c r="L80" s="379"/>
      <c r="M80" s="379"/>
      <c r="N80" s="379"/>
      <c r="O80" s="379"/>
    </row>
    <row r="81" spans="2:15" ht="26.25" customHeight="1">
      <c r="B81" s="645" t="s">
        <v>1063</v>
      </c>
      <c r="C81" s="645"/>
      <c r="D81" s="645"/>
      <c r="E81" s="645"/>
      <c r="F81" s="645"/>
      <c r="G81" s="645"/>
      <c r="H81" s="645"/>
      <c r="I81" s="645"/>
      <c r="J81" s="645"/>
      <c r="K81" s="645"/>
      <c r="L81" s="645"/>
      <c r="M81" s="645"/>
      <c r="N81" s="645"/>
      <c r="O81" s="645"/>
    </row>
    <row r="82" ht="13.5" thickBot="1">
      <c r="B82" s="377"/>
    </row>
    <row r="83" spans="2:15" ht="13.5" thickBot="1">
      <c r="B83" s="380" t="s">
        <v>1061</v>
      </c>
      <c r="C83" s="381"/>
      <c r="D83" s="381"/>
      <c r="E83" s="381"/>
      <c r="F83" s="381"/>
      <c r="G83" s="381"/>
      <c r="H83" s="381"/>
      <c r="I83" s="381"/>
      <c r="J83" s="381"/>
      <c r="K83" s="381"/>
      <c r="L83" s="381"/>
      <c r="M83" s="381"/>
      <c r="N83" s="381"/>
      <c r="O83" s="381"/>
    </row>
    <row r="84" ht="12.75">
      <c r="B84" s="377" t="s">
        <v>1064</v>
      </c>
    </row>
    <row r="85" ht="13.5" thickBot="1">
      <c r="B85" s="377"/>
    </row>
    <row r="86" spans="2:15" ht="13.5" thickBot="1">
      <c r="B86" s="382" t="s">
        <v>1062</v>
      </c>
      <c r="C86" s="383"/>
      <c r="D86" s="383"/>
      <c r="E86" s="383"/>
      <c r="F86" s="383"/>
      <c r="G86" s="383"/>
      <c r="H86" s="383"/>
      <c r="I86" s="383"/>
      <c r="J86" s="383"/>
      <c r="K86" s="383"/>
      <c r="L86" s="383"/>
      <c r="M86" s="383"/>
      <c r="N86" s="383"/>
      <c r="O86" s="383"/>
    </row>
    <row r="87" ht="12.75">
      <c r="B87" s="377" t="s">
        <v>1065</v>
      </c>
    </row>
    <row r="89" ht="12.75">
      <c r="B89" s="207" t="s">
        <v>1066</v>
      </c>
    </row>
    <row r="90" ht="14.25">
      <c r="B90" s="66" t="s">
        <v>73</v>
      </c>
    </row>
  </sheetData>
  <sheetProtection/>
  <mergeCells count="5">
    <mergeCell ref="B81:O81"/>
    <mergeCell ref="B3:O3"/>
    <mergeCell ref="B9:O9"/>
    <mergeCell ref="B11:O11"/>
    <mergeCell ref="B5:O5"/>
  </mergeCell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codeName="Sheet2"/>
  <dimension ref="A1:BL244"/>
  <sheetViews>
    <sheetView showGridLines="0" workbookViewId="0" topLeftCell="A1">
      <pane ySplit="1" topLeftCell="BM2" activePane="bottomLeft" state="frozen"/>
      <selection pane="topLeft" activeCell="A1" sqref="A1"/>
      <selection pane="bottomLeft" activeCell="A1" sqref="A1:E1"/>
    </sheetView>
  </sheetViews>
  <sheetFormatPr defaultColWidth="9.140625" defaultRowHeight="12.75"/>
  <cols>
    <col min="1" max="1" width="5.7109375" style="66" customWidth="1"/>
    <col min="2" max="2" width="32.00390625" style="66" customWidth="1"/>
    <col min="3" max="3" width="7.28125" style="66" customWidth="1"/>
    <col min="4" max="4" width="36.57421875" style="66" customWidth="1"/>
    <col min="5" max="5" width="4.28125" style="66" customWidth="1"/>
    <col min="6" max="6" width="20.8515625" style="66" customWidth="1"/>
    <col min="7" max="7" width="5.57421875" style="66" customWidth="1"/>
    <col min="8" max="8" width="21.57421875" style="66" customWidth="1"/>
    <col min="9" max="9" width="4.28125" style="66" customWidth="1"/>
    <col min="10" max="10" width="20.8515625" style="66" customWidth="1"/>
    <col min="11" max="11" width="6.28125" style="66" customWidth="1"/>
    <col min="12" max="12" width="20.7109375" style="66" customWidth="1"/>
    <col min="13" max="13" width="4.140625" style="66" customWidth="1"/>
    <col min="14" max="14" width="17.421875" style="66" customWidth="1"/>
    <col min="15" max="15" width="4.421875" style="66" customWidth="1"/>
    <col min="16" max="16" width="16.7109375" style="66" customWidth="1"/>
    <col min="17" max="17" width="3.140625" style="66" customWidth="1"/>
    <col min="18" max="18" width="14.57421875" style="66" customWidth="1"/>
    <col min="19" max="19" width="4.140625" style="66" bestFit="1" customWidth="1"/>
    <col min="20" max="20" width="14.57421875" style="66" customWidth="1"/>
    <col min="21" max="21" width="2.28125" style="66" bestFit="1" customWidth="1"/>
    <col min="22" max="22" width="14.7109375" style="66" customWidth="1"/>
    <col min="23" max="23" width="4.140625" style="66" bestFit="1" customWidth="1"/>
    <col min="24" max="24" width="14.57421875" style="66" customWidth="1"/>
    <col min="25" max="26" width="9.140625" style="66" customWidth="1"/>
    <col min="27" max="27" width="20.421875" style="501" bestFit="1" customWidth="1"/>
    <col min="28" max="28" width="14.00390625" style="501" bestFit="1" customWidth="1"/>
    <col min="29" max="29" width="17.421875" style="209" bestFit="1" customWidth="1"/>
    <col min="30" max="30" width="23.8515625" style="501" bestFit="1" customWidth="1"/>
    <col min="31" max="31" width="22.8515625" style="209" bestFit="1" customWidth="1"/>
    <col min="32" max="32" width="36.57421875" style="209" bestFit="1" customWidth="1"/>
    <col min="33" max="34" width="24.00390625" style="209" bestFit="1" customWidth="1"/>
    <col min="35" max="36" width="33.57421875" style="209" bestFit="1" customWidth="1"/>
    <col min="37" max="37" width="19.8515625" style="209" bestFit="1" customWidth="1"/>
    <col min="38" max="39" width="0.42578125" style="209" customWidth="1"/>
    <col min="40" max="40" width="8.7109375" style="512" bestFit="1" customWidth="1"/>
    <col min="41" max="41" width="15.00390625" style="209" bestFit="1" customWidth="1"/>
    <col min="42" max="42" width="8.7109375" style="209" bestFit="1" customWidth="1"/>
    <col min="43" max="43" width="29.00390625" style="209" bestFit="1" customWidth="1"/>
    <col min="44" max="50" width="10.7109375" style="209" customWidth="1"/>
    <col min="51" max="64" width="9.140625" style="209" customWidth="1"/>
    <col min="65" max="16384" width="9.140625" style="66" customWidth="1"/>
  </cols>
  <sheetData>
    <row r="1" spans="1:40" s="530" customFormat="1" ht="61.5" customHeight="1" thickBot="1" thickTop="1">
      <c r="A1" s="651" t="str">
        <f>Welcome!C21&amp;" GHG Emission Inventory for "&amp;Welcome!C19</f>
        <v> GHG Emission Inventory for </v>
      </c>
      <c r="B1" s="651"/>
      <c r="C1" s="651"/>
      <c r="D1" s="651"/>
      <c r="E1" s="651"/>
      <c r="F1" s="528"/>
      <c r="G1" s="529"/>
      <c r="H1" s="529"/>
      <c r="I1" s="529"/>
      <c r="J1" s="529"/>
      <c r="K1" s="529"/>
      <c r="L1" s="529"/>
      <c r="M1" s="529"/>
      <c r="N1" s="529"/>
      <c r="O1" s="529"/>
      <c r="P1" s="529"/>
      <c r="Q1" s="529"/>
      <c r="R1" s="529"/>
      <c r="S1" s="529"/>
      <c r="T1" s="529"/>
      <c r="U1" s="529"/>
      <c r="V1" s="529"/>
      <c r="W1" s="529"/>
      <c r="X1" s="529"/>
      <c r="Y1" s="529"/>
      <c r="Z1" s="529"/>
      <c r="AA1" s="529"/>
      <c r="AB1" s="529"/>
      <c r="AD1" s="529"/>
      <c r="AN1" s="531"/>
    </row>
    <row r="2" spans="27:45" ht="7.5" customHeight="1" thickTop="1">
      <c r="AA2" s="501" t="str">
        <f>'Heating Values'!B6</f>
        <v>Anthracite coal</v>
      </c>
      <c r="AB2" s="501" t="str">
        <f>'Oxidation Factors'!B7</f>
        <v>Newer boilers</v>
      </c>
      <c r="AC2" s="209" t="str">
        <f>'Heating Values'!B14</f>
        <v>Natural gas</v>
      </c>
      <c r="AD2" s="501" t="str">
        <f>'Oxidation Factors'!B10</f>
        <v>Natural gas-based fuels</v>
      </c>
      <c r="AE2" s="209" t="str">
        <f>'Heating Values'!B24</f>
        <v>Crude oil</v>
      </c>
      <c r="AF2" s="209" t="str">
        <f>'Oxidation Factors'!B12</f>
        <v>Gasoline internal combustion engines</v>
      </c>
      <c r="AG2" s="209" t="str">
        <f>'Heating Values'!B46</f>
        <v>Peat</v>
      </c>
      <c r="AH2" s="209" t="str">
        <f>'Oxidation Factors'!B16</f>
        <v>Peat</v>
      </c>
      <c r="AI2" s="209" t="str">
        <f>'Heating Values'!B51</f>
        <v>Wood (dry)</v>
      </c>
      <c r="AJ2" s="209" t="str">
        <f>'Oxidation Factors'!B21</f>
        <v>Wood (dry)</v>
      </c>
      <c r="AK2" s="209" t="str">
        <f>'US EF'!U6</f>
        <v>Alabama</v>
      </c>
      <c r="AN2" s="512" t="str">
        <f>'Mobile Factors'!G13</f>
        <v>Gasoline</v>
      </c>
      <c r="AO2" s="209" t="str">
        <f>'Mobile Factors'!G34</f>
        <v>Motor Gasoline</v>
      </c>
      <c r="AP2" s="209" t="str">
        <f>'Mobile Factors'!G28</f>
        <v>Gasoline</v>
      </c>
      <c r="AQ2" s="209" t="str">
        <f>'Table 2. Default IPCC Values'!C10</f>
        <v>Domestic</v>
      </c>
      <c r="AR2" s="513" t="str">
        <f>'Table 1. GWPs'!C69</f>
        <v>HFC-134a</v>
      </c>
      <c r="AS2" s="513"/>
    </row>
    <row r="3" spans="2:45" ht="88.5" customHeight="1">
      <c r="B3" s="643" t="s">
        <v>64</v>
      </c>
      <c r="C3" s="643"/>
      <c r="D3" s="643"/>
      <c r="E3" s="643"/>
      <c r="F3" s="643"/>
      <c r="G3" s="643"/>
      <c r="H3" s="643"/>
      <c r="AA3" s="501" t="str">
        <f>'Heating Values'!B7</f>
        <v>Bituminous coal</v>
      </c>
      <c r="AB3" s="501" t="str">
        <f>'Oxidation Factors'!B8</f>
        <v>Older boilers</v>
      </c>
      <c r="AC3" s="209" t="str">
        <f>'Heating Values'!B15</f>
        <v>Natural gas (dry)</v>
      </c>
      <c r="AE3" s="209" t="str">
        <f>'Heating Values'!B25</f>
        <v>Motor gasoline / petrol</v>
      </c>
      <c r="AF3" s="209" t="str">
        <f>'Oxidation Factors'!B13</f>
        <v>Diesel internal combustion engines</v>
      </c>
      <c r="AG3" s="209" t="str">
        <f>'Heating Values'!B47</f>
        <v>Waste plastics</v>
      </c>
      <c r="AH3" s="209" t="str">
        <f>'Oxidation Factors'!B17</f>
        <v>Waste plastics</v>
      </c>
      <c r="AI3" s="209" t="str">
        <f>'Heating Values'!B52</f>
        <v>Wood (wet)</v>
      </c>
      <c r="AJ3" s="209" t="str">
        <f>'Oxidation Factors'!B22</f>
        <v>Wood (wet)</v>
      </c>
      <c r="AK3" s="209" t="str">
        <f>'US EF'!U7</f>
        <v>Alaska</v>
      </c>
      <c r="AN3" s="512" t="str">
        <f>'Mobile Factors'!G14</f>
        <v>Diesel</v>
      </c>
      <c r="AO3" s="209" t="str">
        <f>'Mobile Factors'!G35</f>
        <v>Diesel Fuel</v>
      </c>
      <c r="AP3" s="209" t="str">
        <f>'Mobile Factors'!G29</f>
        <v>Diesel</v>
      </c>
      <c r="AQ3" s="209" t="str">
        <f>'Table 2. Default IPCC Values'!C11</f>
        <v>Stand-Alone Commercial</v>
      </c>
      <c r="AR3" s="513" t="str">
        <f>'Table 1. GWPs'!C70</f>
        <v>HFC-236fa</v>
      </c>
      <c r="AS3" s="513"/>
    </row>
    <row r="4" spans="27:45" ht="11.25" customHeight="1">
      <c r="AA4" s="501" t="str">
        <f>'Heating Values'!B8</f>
        <v>Sub-bituminous coal</v>
      </c>
      <c r="AB4" s="501" t="str">
        <f>'Oxidation Factors'!B9</f>
        <v>Stoker boilers</v>
      </c>
      <c r="AC4" s="209" t="str">
        <f>'Heating Values'!B16</f>
        <v>Methane</v>
      </c>
      <c r="AE4" s="209" t="str">
        <f>'Heating Values'!B26</f>
        <v>Aviation gasoline</v>
      </c>
      <c r="AF4" s="209" t="str">
        <f>'Oxidation Factors'!B14</f>
        <v>Other combustion equipment</v>
      </c>
      <c r="AG4" s="209" t="str">
        <f>'Heating Values'!B48</f>
        <v>Tar</v>
      </c>
      <c r="AH4" s="209" t="str">
        <f>'Oxidation Factors'!B18</f>
        <v>Tar</v>
      </c>
      <c r="AI4" s="209" t="str">
        <f>'Heating Values'!B53</f>
        <v>Fuelwood (approx. 20% moisture)</v>
      </c>
      <c r="AJ4" s="209" t="str">
        <f>'Oxidation Factors'!B23</f>
        <v>Fuelwood (approx. 20% moisture)</v>
      </c>
      <c r="AK4" s="209" t="str">
        <f>'US EF'!U8</f>
        <v>Arizona</v>
      </c>
      <c r="AN4" s="512" t="str">
        <f>'Mobile Factors'!G18</f>
        <v>LPG</v>
      </c>
      <c r="AP4" s="209" t="str">
        <f>'Mobile Factors'!G30</f>
        <v>Residual</v>
      </c>
      <c r="AQ4" s="209" t="str">
        <f>'Table 2. Default IPCC Values'!C12</f>
        <v>Medium/Large Commercial</v>
      </c>
      <c r="AR4" s="513" t="str">
        <f>'Table 1. GWPs'!C71</f>
        <v>HFC-245fa</v>
      </c>
      <c r="AS4" s="513"/>
    </row>
    <row r="5" spans="2:45" ht="12.75">
      <c r="B5" s="207" t="s">
        <v>0</v>
      </c>
      <c r="AA5" s="501" t="str">
        <f>'Heating Values'!B9</f>
        <v>Lignite coal</v>
      </c>
      <c r="AC5" s="209" t="str">
        <f>'Heating Values'!B17</f>
        <v>Ethane</v>
      </c>
      <c r="AE5" s="209" t="str">
        <f>'Heating Values'!B27</f>
        <v>Distillate Oil</v>
      </c>
      <c r="AG5" s="209" t="str">
        <f>'Heating Values'!B49</f>
        <v>Waste tire derived fuels</v>
      </c>
      <c r="AH5" s="209" t="str">
        <f>'Oxidation Factors'!B19</f>
        <v>Waste tire derived fuels</v>
      </c>
      <c r="AI5" s="209" t="str">
        <f>'Heating Values'!B54</f>
        <v>Black liquor</v>
      </c>
      <c r="AJ5" s="209" t="str">
        <f>'Oxidation Factors'!B24</f>
        <v>Black liquor</v>
      </c>
      <c r="AK5" s="209" t="str">
        <f>'US EF'!U9</f>
        <v>Arkansas</v>
      </c>
      <c r="AQ5" s="209" t="str">
        <f>'Table 2. Default IPCC Values'!C13</f>
        <v>Transport Refrigeration</v>
      </c>
      <c r="AR5" s="513" t="str">
        <f>'Table 1. GWPs'!C72</f>
        <v>R-290</v>
      </c>
      <c r="AS5" s="513"/>
    </row>
    <row r="6" spans="27:45" ht="12.75">
      <c r="AA6" s="501" t="str">
        <f>'Heating Values'!B10</f>
        <v>Coal coke</v>
      </c>
      <c r="AC6" s="209" t="str">
        <f>'Heating Values'!B18</f>
        <v>Propane</v>
      </c>
      <c r="AE6" s="209" t="str">
        <f>'Heating Values'!B28</f>
        <v>Distillate fuel oil No.1</v>
      </c>
      <c r="AI6" s="209" t="str">
        <f>'Heating Values'!B57</f>
        <v>Biodiesel</v>
      </c>
      <c r="AJ6" s="209" t="str">
        <f>'Oxidation Factors'!B25</f>
        <v>Landfill gasc</v>
      </c>
      <c r="AK6" s="209" t="str">
        <f>'US EF'!U10</f>
        <v>California</v>
      </c>
      <c r="AQ6" s="209" t="str">
        <f>'Table 2. Default IPCC Values'!C14</f>
        <v>Industrial Refrigeration</v>
      </c>
      <c r="AR6" s="513" t="str">
        <f>'Table 1. GWPs'!C73</f>
        <v>R-401A</v>
      </c>
      <c r="AS6" s="513"/>
    </row>
    <row r="7" spans="2:45" ht="24" customHeight="1">
      <c r="B7" s="647" t="s">
        <v>62</v>
      </c>
      <c r="C7" s="647"/>
      <c r="D7" s="647"/>
      <c r="E7" s="647"/>
      <c r="F7" s="647"/>
      <c r="G7" s="647"/>
      <c r="H7" s="647"/>
      <c r="AA7" s="501" t="str">
        <f>'Heating Values'!B11</f>
        <v>Patent fuel</v>
      </c>
      <c r="AC7" s="209" t="str">
        <f>'Heating Values'!B19</f>
        <v>Butane</v>
      </c>
      <c r="AE7" s="209" t="str">
        <f>'Heating Values'!B29</f>
        <v>Distillate fuel oil No.2</v>
      </c>
      <c r="AI7" s="209" t="str">
        <f>'Heating Values'!B58</f>
        <v>Turpentine</v>
      </c>
      <c r="AJ7" s="209" t="str">
        <f>'Oxidation Factors'!B26</f>
        <v>Waste water treatment biogasc</v>
      </c>
      <c r="AK7" s="209" t="str">
        <f>'US EF'!U11</f>
        <v>Colorado</v>
      </c>
      <c r="AQ7" s="209" t="str">
        <f>'Table 2. Default IPCC Values'!C15</f>
        <v>Chillers</v>
      </c>
      <c r="AR7" s="513" t="str">
        <f>'Table 1. GWPs'!C74</f>
        <v>R-402A</v>
      </c>
      <c r="AS7" s="513"/>
    </row>
    <row r="8" spans="27:45" ht="12.75">
      <c r="AA8" s="501" t="str">
        <f>'Heating Values'!B12</f>
        <v>BKB</v>
      </c>
      <c r="AC8" s="209" t="str">
        <f>'Heating Values'!B20</f>
        <v>Isobutane</v>
      </c>
      <c r="AE8" s="209" t="str">
        <f>'Heating Values'!B30</f>
        <v>Distillate fuel oil No.4</v>
      </c>
      <c r="AI8" s="209" t="str">
        <f>'Heating Values'!B59</f>
        <v>Vegetable oils</v>
      </c>
      <c r="AJ8" s="209" t="str">
        <f>'Oxidation Factors'!B27</f>
        <v>Biodiesel</v>
      </c>
      <c r="AK8" s="209" t="str">
        <f>'US EF'!U12</f>
        <v>Connecticut</v>
      </c>
      <c r="AQ8" s="209" t="str">
        <f>'Table 2. Default IPCC Values'!C16</f>
        <v>Residential &amp; Commercial A/C</v>
      </c>
      <c r="AR8" s="513" t="str">
        <f>'Table 1. GWPs'!C75</f>
        <v>R-402B</v>
      </c>
      <c r="AS8" s="513"/>
    </row>
    <row r="9" spans="2:45" ht="14.25" customHeight="1">
      <c r="B9" s="207" t="s">
        <v>1058</v>
      </c>
      <c r="AC9" s="209" t="str">
        <f>'Heating Values'!B21</f>
        <v>n-Butane</v>
      </c>
      <c r="AE9" s="209" t="str">
        <f>'Heating Values'!B31</f>
        <v>Residual Oil</v>
      </c>
      <c r="AJ9" s="209" t="str">
        <f>'Oxidation Factors'!B28</f>
        <v>Turpentine</v>
      </c>
      <c r="AK9" s="209" t="str">
        <f>'US EF'!U13</f>
        <v>Delaware</v>
      </c>
      <c r="AQ9" s="209" t="str">
        <f>'Table 2. Default IPCC Values'!C17</f>
        <v>Mobile A/C</v>
      </c>
      <c r="AR9" s="513" t="str">
        <f>'Table 1. GWPs'!C76</f>
        <v>R-404A</v>
      </c>
      <c r="AS9" s="513"/>
    </row>
    <row r="10" spans="2:45" ht="12.75">
      <c r="B10" s="68"/>
      <c r="C10" s="73" t="s">
        <v>387</v>
      </c>
      <c r="D10" s="66" t="s">
        <v>690</v>
      </c>
      <c r="AC10" s="209" t="str">
        <f>'Heating Values'!B22</f>
        <v>Natural gas liquids (LNG)</v>
      </c>
      <c r="AE10" s="209" t="str">
        <f>'Heating Values'!B32</f>
        <v>Residual fuel oil No.5</v>
      </c>
      <c r="AJ10" s="209" t="str">
        <f>'Oxidation Factors'!B29</f>
        <v>Vegetable oils</v>
      </c>
      <c r="AK10" s="209" t="str">
        <f>'US EF'!U14</f>
        <v>District Of Columbia</v>
      </c>
      <c r="AR10" s="513" t="str">
        <f>'Table 1. GWPs'!C77</f>
        <v>R-407A</v>
      </c>
      <c r="AS10" s="513"/>
    </row>
    <row r="11" spans="2:45" ht="12.75">
      <c r="B11" s="69"/>
      <c r="C11" s="73" t="s">
        <v>387</v>
      </c>
      <c r="D11" s="66" t="s">
        <v>928</v>
      </c>
      <c r="AE11" s="209" t="str">
        <f>'Heating Values'!B33</f>
        <v>Residual fuel oil No.6</v>
      </c>
      <c r="AK11" s="209" t="str">
        <f>'US EF'!U15</f>
        <v>Florida</v>
      </c>
      <c r="AR11" s="513" t="str">
        <f>'Table 1. GWPs'!C78</f>
        <v>R-407B</v>
      </c>
      <c r="AS11" s="513"/>
    </row>
    <row r="12" spans="2:64" s="222" customFormat="1" ht="13.5" thickBot="1">
      <c r="B12" s="213"/>
      <c r="C12" s="223" t="s">
        <v>387</v>
      </c>
      <c r="D12" s="222" t="s">
        <v>963</v>
      </c>
      <c r="AA12" s="282"/>
      <c r="AB12" s="282"/>
      <c r="AC12" s="210"/>
      <c r="AD12" s="282"/>
      <c r="AE12" s="210" t="str">
        <f>'Heating Values'!B34</f>
        <v>Jet kerosene</v>
      </c>
      <c r="AF12" s="210"/>
      <c r="AG12" s="210"/>
      <c r="AH12" s="210"/>
      <c r="AI12" s="210"/>
      <c r="AJ12" s="210"/>
      <c r="AK12" s="210" t="str">
        <f>'US EF'!U16</f>
        <v>Georgia</v>
      </c>
      <c r="AL12" s="210"/>
      <c r="AM12" s="210"/>
      <c r="AN12" s="512"/>
      <c r="AO12" s="210"/>
      <c r="AP12" s="210"/>
      <c r="AQ12" s="210"/>
      <c r="AR12" s="513" t="str">
        <f>'Table 1. GWPs'!C79</f>
        <v>R-407C</v>
      </c>
      <c r="AS12" s="514"/>
      <c r="AT12" s="210"/>
      <c r="AU12" s="210"/>
      <c r="AV12" s="210"/>
      <c r="AW12" s="210"/>
      <c r="AX12" s="210"/>
      <c r="AY12" s="210"/>
      <c r="AZ12" s="210"/>
      <c r="BA12" s="210"/>
      <c r="BB12" s="210"/>
      <c r="BC12" s="210"/>
      <c r="BD12" s="210"/>
      <c r="BE12" s="210"/>
      <c r="BF12" s="210"/>
      <c r="BG12" s="210"/>
      <c r="BH12" s="210"/>
      <c r="BI12" s="210"/>
      <c r="BJ12" s="210"/>
      <c r="BK12" s="210"/>
      <c r="BL12" s="210"/>
    </row>
    <row r="13" spans="1:64" s="212" customFormat="1" ht="14.25" thickBot="1" thickTop="1">
      <c r="A13" s="384"/>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501"/>
      <c r="AB13" s="501"/>
      <c r="AC13" s="209"/>
      <c r="AD13" s="501"/>
      <c r="AE13" s="280" t="str">
        <f>'Heating Values'!B37</f>
        <v>LPG</v>
      </c>
      <c r="AF13" s="209"/>
      <c r="AG13" s="209"/>
      <c r="AH13" s="209"/>
      <c r="AI13" s="209"/>
      <c r="AJ13" s="209"/>
      <c r="AK13" s="209" t="str">
        <f>'US EF'!U18</f>
        <v>Idaho</v>
      </c>
      <c r="AL13" s="209"/>
      <c r="AM13" s="209"/>
      <c r="AN13" s="512"/>
      <c r="AO13" s="209"/>
      <c r="AP13" s="209"/>
      <c r="AQ13" s="209"/>
      <c r="AR13" s="513" t="str">
        <f>'Table 1. GWPs'!C80</f>
        <v>R-410A</v>
      </c>
      <c r="AS13" s="513"/>
      <c r="AT13" s="209"/>
      <c r="AU13" s="209"/>
      <c r="AV13" s="209"/>
      <c r="AW13" s="209"/>
      <c r="AX13" s="209"/>
      <c r="AY13" s="209"/>
      <c r="AZ13" s="209"/>
      <c r="BA13" s="209"/>
      <c r="BB13" s="209"/>
      <c r="BC13" s="209"/>
      <c r="BD13" s="209"/>
      <c r="BE13" s="209"/>
      <c r="BF13" s="209"/>
      <c r="BG13" s="209"/>
      <c r="BH13" s="209"/>
      <c r="BI13" s="209"/>
      <c r="BJ13" s="209"/>
      <c r="BK13" s="209"/>
      <c r="BL13" s="209"/>
    </row>
    <row r="14" spans="1:64" s="212" customFormat="1" ht="25.5" customHeight="1" thickBot="1" thickTop="1">
      <c r="A14" s="384"/>
      <c r="B14" s="655" t="s">
        <v>63</v>
      </c>
      <c r="C14" s="655"/>
      <c r="D14" s="655"/>
      <c r="E14" s="655"/>
      <c r="F14" s="655"/>
      <c r="G14" s="655"/>
      <c r="H14" s="655"/>
      <c r="I14" s="209"/>
      <c r="J14" s="209"/>
      <c r="K14" s="209"/>
      <c r="L14" s="209"/>
      <c r="M14" s="209"/>
      <c r="N14" s="209"/>
      <c r="O14" s="209"/>
      <c r="P14" s="209"/>
      <c r="Q14" s="209"/>
      <c r="R14" s="209"/>
      <c r="S14" s="209"/>
      <c r="T14" s="209"/>
      <c r="U14" s="209"/>
      <c r="V14" s="209"/>
      <c r="W14" s="209"/>
      <c r="X14" s="209"/>
      <c r="Y14" s="209"/>
      <c r="Z14" s="209"/>
      <c r="AA14" s="501"/>
      <c r="AB14" s="501"/>
      <c r="AC14" s="209"/>
      <c r="AD14" s="501"/>
      <c r="AE14" s="209" t="str">
        <f>'Heating Values'!B38</f>
        <v>Naphtha</v>
      </c>
      <c r="AF14" s="209"/>
      <c r="AG14" s="209"/>
      <c r="AH14" s="209"/>
      <c r="AI14" s="209"/>
      <c r="AJ14" s="209"/>
      <c r="AK14" s="280" t="str">
        <f>'US EF'!U19</f>
        <v>Illinois</v>
      </c>
      <c r="AL14" s="209"/>
      <c r="AM14" s="209"/>
      <c r="AN14" s="512"/>
      <c r="AO14" s="209"/>
      <c r="AP14" s="209"/>
      <c r="AQ14" s="209"/>
      <c r="AR14" s="513" t="str">
        <f>'Table 1. GWPs'!C81</f>
        <v>R-417A</v>
      </c>
      <c r="AS14" s="515"/>
      <c r="AT14" s="209"/>
      <c r="AU14" s="209"/>
      <c r="AV14" s="209"/>
      <c r="AW14" s="209"/>
      <c r="AX14" s="209"/>
      <c r="AY14" s="209"/>
      <c r="AZ14" s="209"/>
      <c r="BA14" s="209"/>
      <c r="BB14" s="209"/>
      <c r="BC14" s="209"/>
      <c r="BD14" s="209"/>
      <c r="BE14" s="209"/>
      <c r="BF14" s="209"/>
      <c r="BG14" s="209"/>
      <c r="BH14" s="209"/>
      <c r="BI14" s="209"/>
      <c r="BJ14" s="209"/>
      <c r="BK14" s="209"/>
      <c r="BL14" s="209"/>
    </row>
    <row r="15" spans="1:64" s="212" customFormat="1" ht="14.25" thickBot="1" thickTop="1">
      <c r="A15" s="384"/>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501"/>
      <c r="AB15" s="501"/>
      <c r="AC15" s="209"/>
      <c r="AD15" s="501"/>
      <c r="AE15" s="209" t="str">
        <f>'Heating Values'!B41</f>
        <v>Lubricants</v>
      </c>
      <c r="AF15" s="209"/>
      <c r="AG15" s="209"/>
      <c r="AH15" s="209"/>
      <c r="AI15" s="209"/>
      <c r="AJ15" s="209"/>
      <c r="AK15" s="209" t="str">
        <f>'US EF'!U20</f>
        <v>Indiana</v>
      </c>
      <c r="AL15" s="209"/>
      <c r="AM15" s="209"/>
      <c r="AN15" s="512"/>
      <c r="AO15" s="209"/>
      <c r="AP15" s="209"/>
      <c r="AQ15" s="209"/>
      <c r="AR15" s="513" t="str">
        <f>'Table 1. GWPs'!C82</f>
        <v>R-422A</v>
      </c>
      <c r="AS15" s="209"/>
      <c r="AT15" s="209"/>
      <c r="AU15" s="209"/>
      <c r="AV15" s="209"/>
      <c r="AW15" s="209"/>
      <c r="AX15" s="209"/>
      <c r="AY15" s="209"/>
      <c r="AZ15" s="209"/>
      <c r="BA15" s="209"/>
      <c r="BB15" s="209"/>
      <c r="BC15" s="209"/>
      <c r="BD15" s="209"/>
      <c r="BE15" s="209"/>
      <c r="BF15" s="209"/>
      <c r="BG15" s="209"/>
      <c r="BH15" s="209"/>
      <c r="BI15" s="209"/>
      <c r="BJ15" s="209"/>
      <c r="BK15" s="209"/>
      <c r="BL15" s="209"/>
    </row>
    <row r="16" spans="2:44" s="530" customFormat="1" ht="36.75" customHeight="1" thickBot="1" thickTop="1">
      <c r="B16" s="532" t="s">
        <v>991</v>
      </c>
      <c r="AA16" s="529"/>
      <c r="AB16" s="529"/>
      <c r="AD16" s="529"/>
      <c r="AE16" s="533" t="str">
        <f>'Heating Values'!B43</f>
        <v>Shale oil (liquid)</v>
      </c>
      <c r="AK16" s="533" t="str">
        <f>'US EF'!U21</f>
        <v>Iowa</v>
      </c>
      <c r="AN16" s="531"/>
      <c r="AR16" s="513" t="str">
        <f>'Table 1. GWPs'!C83</f>
        <v>R-422D</v>
      </c>
    </row>
    <row r="17" spans="37:44" ht="5.25" customHeight="1" hidden="1" thickTop="1">
      <c r="AK17" s="209" t="str">
        <f>'US EF'!U22</f>
        <v>Kansas</v>
      </c>
      <c r="AR17" s="513" t="str">
        <f>'Table 1. GWPs'!C84</f>
        <v>R-507</v>
      </c>
    </row>
    <row r="18" spans="1:44" ht="12.75" hidden="1">
      <c r="A18" s="505" t="s">
        <v>69</v>
      </c>
      <c r="AK18" s="209" t="str">
        <f>'US EF'!U23</f>
        <v>Kentucky</v>
      </c>
      <c r="AR18" s="513" t="str">
        <f>'Table 1. GWPs'!C85</f>
        <v>R-507A</v>
      </c>
    </row>
    <row r="19" spans="1:44" ht="25.5" customHeight="1" hidden="1">
      <c r="A19" s="505" t="s">
        <v>730</v>
      </c>
      <c r="AK19" s="209" t="str">
        <f>'US EF'!U24</f>
        <v>Louisiana</v>
      </c>
      <c r="AR19" s="513" t="str">
        <f>'Table 1. GWPs'!C86</f>
        <v>R-508A</v>
      </c>
    </row>
    <row r="20" spans="2:44" ht="14.25" hidden="1">
      <c r="B20" s="66" t="s">
        <v>998</v>
      </c>
      <c r="F20" s="648" t="s">
        <v>732</v>
      </c>
      <c r="H20" s="648" t="s">
        <v>731</v>
      </c>
      <c r="AK20" s="209" t="str">
        <f>'US EF'!U25</f>
        <v>Maine</v>
      </c>
      <c r="AR20" s="513" t="str">
        <f>'Table 1. GWPs'!C87</f>
        <v>R-508B</v>
      </c>
    </row>
    <row r="21" spans="2:44" ht="12.75" hidden="1">
      <c r="B21" s="500" t="s">
        <v>70</v>
      </c>
      <c r="F21" s="648"/>
      <c r="H21" s="648"/>
      <c r="AK21" s="209" t="str">
        <f>'US EF'!U26</f>
        <v>Maryland</v>
      </c>
      <c r="AR21" s="513" t="str">
        <f>'Table 1. GWPs'!C88</f>
        <v>R-600a</v>
      </c>
    </row>
    <row r="22" spans="2:44" ht="19.5" customHeight="1" hidden="1">
      <c r="B22" s="73" t="s">
        <v>389</v>
      </c>
      <c r="D22" s="73" t="s">
        <v>733</v>
      </c>
      <c r="F22" s="649"/>
      <c r="H22" s="649"/>
      <c r="J22" s="67" t="s">
        <v>687</v>
      </c>
      <c r="L22" s="67" t="s">
        <v>693</v>
      </c>
      <c r="AK22" s="209" t="str">
        <f>'US EF'!U27</f>
        <v>Massachusetts</v>
      </c>
      <c r="AR22" s="513" t="str">
        <f>'Table 1. GWPs'!C89</f>
        <v>R-1270</v>
      </c>
    </row>
    <row r="23" spans="1:44" ht="12.75" hidden="1">
      <c r="A23" s="221" t="s">
        <v>696</v>
      </c>
      <c r="B23" s="275"/>
      <c r="D23" s="276"/>
      <c r="E23" s="73" t="s">
        <v>386</v>
      </c>
      <c r="F23" s="71">
        <f>IF(B23&gt;0,VLOOKUP(B23,RoadTransportHV,2,FALSE),0)</f>
        <v>0</v>
      </c>
      <c r="G23" s="73" t="s">
        <v>386</v>
      </c>
      <c r="H23" s="72">
        <f>IF(B23&gt;0,VLOOKUP(B23,RoadTransportHV,3,FALSE),0)</f>
        <v>0</v>
      </c>
      <c r="I23" s="73" t="s">
        <v>387</v>
      </c>
      <c r="J23" s="224">
        <f>D23*F23*H23</f>
        <v>0</v>
      </c>
      <c r="K23" s="73" t="s">
        <v>387</v>
      </c>
      <c r="L23" s="224">
        <f>J23/'Conversion Factors'!$D$33</f>
        <v>0</v>
      </c>
      <c r="AK23" s="209" t="str">
        <f>'US EF'!U28</f>
        <v>Michigan</v>
      </c>
      <c r="AR23" s="513"/>
    </row>
    <row r="24" spans="1:44" ht="12.75" hidden="1">
      <c r="A24" s="221" t="s">
        <v>697</v>
      </c>
      <c r="B24" s="275"/>
      <c r="D24" s="276"/>
      <c r="E24" s="73" t="s">
        <v>386</v>
      </c>
      <c r="F24" s="71">
        <f>IF(B24&gt;0,VLOOKUP(B24,RoadTransportHV,2,FALSE),0)</f>
        <v>0</v>
      </c>
      <c r="G24" s="73" t="s">
        <v>386</v>
      </c>
      <c r="H24" s="72">
        <f>IF(B24&gt;0,VLOOKUP(B24,RoadTransportHV,3,FALSE),0)</f>
        <v>0</v>
      </c>
      <c r="I24" s="73" t="s">
        <v>387</v>
      </c>
      <c r="J24" s="224">
        <f>D24*F24*H24</f>
        <v>0</v>
      </c>
      <c r="K24" s="73" t="s">
        <v>387</v>
      </c>
      <c r="L24" s="224">
        <f>J24/'Conversion Factors'!$D$33</f>
        <v>0</v>
      </c>
      <c r="AK24" s="209" t="str">
        <f>'US EF'!U29</f>
        <v>Minnesota</v>
      </c>
      <c r="AR24" s="513"/>
    </row>
    <row r="25" spans="1:44" ht="12.75" hidden="1">
      <c r="A25" s="221" t="s">
        <v>698</v>
      </c>
      <c r="B25" s="275"/>
      <c r="D25" s="276"/>
      <c r="E25" s="73" t="s">
        <v>386</v>
      </c>
      <c r="F25" s="71">
        <f>IF(B25&gt;0,VLOOKUP(B25,RoadTransportHV,2,FALSE),0)</f>
        <v>0</v>
      </c>
      <c r="G25" s="73" t="s">
        <v>386</v>
      </c>
      <c r="H25" s="72">
        <f>IF(B25&gt;0,VLOOKUP(B25,RoadTransportHV,3,FALSE),0)</f>
        <v>0</v>
      </c>
      <c r="I25" s="73" t="s">
        <v>387</v>
      </c>
      <c r="J25" s="224">
        <f>D25*F25*H25</f>
        <v>0</v>
      </c>
      <c r="K25" s="73" t="s">
        <v>387</v>
      </c>
      <c r="L25" s="224">
        <f>J25/'Conversion Factors'!$D$33</f>
        <v>0</v>
      </c>
      <c r="AK25" s="209" t="str">
        <f>'US EF'!U30</f>
        <v>Mississippi</v>
      </c>
      <c r="AR25" s="513"/>
    </row>
    <row r="26" spans="1:44" ht="12.75" hidden="1">
      <c r="A26" s="221" t="s">
        <v>699</v>
      </c>
      <c r="B26" s="275"/>
      <c r="D26" s="276"/>
      <c r="E26" s="73" t="s">
        <v>386</v>
      </c>
      <c r="F26" s="71">
        <f>IF(B26&gt;0,VLOOKUP(B26,RoadTransportHV,2,FALSE),0)</f>
        <v>0</v>
      </c>
      <c r="G26" s="73" t="s">
        <v>386</v>
      </c>
      <c r="H26" s="72">
        <f>IF(B26&gt;0,VLOOKUP(B26,RoadTransportHV,3,FALSE),0)</f>
        <v>0</v>
      </c>
      <c r="I26" s="73" t="s">
        <v>387</v>
      </c>
      <c r="J26" s="224">
        <f>D26*F26*H26</f>
        <v>0</v>
      </c>
      <c r="K26" s="73" t="s">
        <v>387</v>
      </c>
      <c r="L26" s="224">
        <f>J26/'Conversion Factors'!$D$33</f>
        <v>0</v>
      </c>
      <c r="AK26" s="209" t="str">
        <f>'US EF'!U31</f>
        <v>Missouri</v>
      </c>
      <c r="AR26" s="513"/>
    </row>
    <row r="27" spans="1:44" ht="12.75" hidden="1">
      <c r="A27" s="221" t="s">
        <v>700</v>
      </c>
      <c r="B27" s="275"/>
      <c r="D27" s="276"/>
      <c r="E27" s="73" t="s">
        <v>386</v>
      </c>
      <c r="F27" s="71">
        <f>IF(B27&gt;0,VLOOKUP(B27,RoadTransportHV,2,FALSE),0)</f>
        <v>0</v>
      </c>
      <c r="G27" s="73" t="s">
        <v>386</v>
      </c>
      <c r="H27" s="72">
        <f>IF(B27&gt;0,VLOOKUP(B27,RoadTransportHV,3,FALSE),0)</f>
        <v>0</v>
      </c>
      <c r="I27" s="73" t="s">
        <v>387</v>
      </c>
      <c r="J27" s="224">
        <f>D27*F27*H27</f>
        <v>0</v>
      </c>
      <c r="K27" s="73" t="s">
        <v>387</v>
      </c>
      <c r="L27" s="224">
        <f>J27/'Conversion Factors'!$D$33</f>
        <v>0</v>
      </c>
      <c r="AK27" s="209" t="str">
        <f>'US EF'!U32</f>
        <v>Montana</v>
      </c>
      <c r="AR27" s="513"/>
    </row>
    <row r="28" spans="37:44" ht="12.75" hidden="1">
      <c r="AK28" s="209" t="str">
        <f>'US EF'!U33</f>
        <v>Nebraska</v>
      </c>
      <c r="AR28" s="513"/>
    </row>
    <row r="29" spans="2:44" ht="12.75" hidden="1">
      <c r="B29" s="500" t="s">
        <v>71</v>
      </c>
      <c r="AK29" s="209" t="str">
        <f>'US EF'!U34</f>
        <v>Nevada</v>
      </c>
      <c r="AR29" s="513"/>
    </row>
    <row r="30" spans="2:44" ht="14.25" hidden="1">
      <c r="B30" s="73" t="s">
        <v>389</v>
      </c>
      <c r="D30" s="73" t="s">
        <v>733</v>
      </c>
      <c r="F30" s="67" t="s">
        <v>68</v>
      </c>
      <c r="G30" s="222"/>
      <c r="H30" s="503" t="s">
        <v>9</v>
      </c>
      <c r="J30" s="67" t="s">
        <v>687</v>
      </c>
      <c r="L30" s="67" t="s">
        <v>693</v>
      </c>
      <c r="AK30" s="209" t="str">
        <f>'US EF'!U35</f>
        <v>New Hampshire</v>
      </c>
      <c r="AR30" s="513"/>
    </row>
    <row r="31" spans="1:44" ht="12.75" hidden="1">
      <c r="A31" s="221" t="s">
        <v>710</v>
      </c>
      <c r="B31" s="275"/>
      <c r="D31" s="276"/>
      <c r="E31" s="73" t="s">
        <v>386</v>
      </c>
      <c r="F31" s="71">
        <f>IF(B31&gt;0,VLOOKUP(B31,'Mobile Factors'!$E$39:$F$45,2,0),0)</f>
        <v>0</v>
      </c>
      <c r="G31" s="73" t="s">
        <v>386</v>
      </c>
      <c r="H31" s="504">
        <f>IF(B31&gt;0,0.4536,0)</f>
        <v>0</v>
      </c>
      <c r="I31" s="73" t="s">
        <v>387</v>
      </c>
      <c r="J31" s="224">
        <f>D31*F31*H31</f>
        <v>0</v>
      </c>
      <c r="K31" s="73" t="s">
        <v>387</v>
      </c>
      <c r="L31" s="224">
        <f>J31/'Conversion Factors'!$D$33</f>
        <v>0</v>
      </c>
      <c r="AK31" s="209" t="str">
        <f>'US EF'!U36</f>
        <v>New Jersey</v>
      </c>
      <c r="AR31" s="513"/>
    </row>
    <row r="32" spans="1:44" ht="12.75" hidden="1">
      <c r="A32" s="221" t="s">
        <v>711</v>
      </c>
      <c r="B32" s="275"/>
      <c r="D32" s="276"/>
      <c r="E32" s="73" t="s">
        <v>386</v>
      </c>
      <c r="F32" s="71">
        <f>IF(B32&gt;0,VLOOKUP(B32,'Mobile Factors'!$E$39:$F$45,2,0),0)</f>
        <v>0</v>
      </c>
      <c r="G32" s="73" t="s">
        <v>386</v>
      </c>
      <c r="H32" s="504">
        <f>IF(B32&gt;0,0.4536,0)</f>
        <v>0</v>
      </c>
      <c r="I32" s="73" t="s">
        <v>387</v>
      </c>
      <c r="J32" s="224">
        <f>D32*F32*H32</f>
        <v>0</v>
      </c>
      <c r="K32" s="73" t="s">
        <v>387</v>
      </c>
      <c r="L32" s="224">
        <f>J32/'Conversion Factors'!$D$33</f>
        <v>0</v>
      </c>
      <c r="AK32" s="209" t="str">
        <f>'US EF'!U31</f>
        <v>Missouri</v>
      </c>
      <c r="AR32" s="513"/>
    </row>
    <row r="33" spans="1:44" ht="12.75" hidden="1">
      <c r="A33" s="221" t="s">
        <v>712</v>
      </c>
      <c r="B33" s="275"/>
      <c r="D33" s="276"/>
      <c r="E33" s="73" t="s">
        <v>386</v>
      </c>
      <c r="F33" s="71">
        <f>IF(B33&gt;0,VLOOKUP(B33,'Mobile Factors'!$E$39:$F$45,2,0),0)</f>
        <v>0</v>
      </c>
      <c r="G33" s="73" t="s">
        <v>386</v>
      </c>
      <c r="H33" s="504">
        <f>IF(B33&gt;0,0.4536,0)</f>
        <v>0</v>
      </c>
      <c r="I33" s="73" t="s">
        <v>387</v>
      </c>
      <c r="J33" s="224">
        <f>D33*F33*H33</f>
        <v>0</v>
      </c>
      <c r="K33" s="73" t="s">
        <v>387</v>
      </c>
      <c r="L33" s="224">
        <f>J33/'Conversion Factors'!$D$33</f>
        <v>0</v>
      </c>
      <c r="AK33" s="209" t="str">
        <f>'US EF'!U32</f>
        <v>Montana</v>
      </c>
      <c r="AR33" s="513"/>
    </row>
    <row r="34" spans="1:44" ht="12.75" hidden="1">
      <c r="A34" s="221" t="s">
        <v>713</v>
      </c>
      <c r="B34" s="275"/>
      <c r="D34" s="276"/>
      <c r="E34" s="73" t="s">
        <v>386</v>
      </c>
      <c r="F34" s="71">
        <f>IF(B34&gt;0,VLOOKUP(B34,'Mobile Factors'!$E$39:$F$45,2,0),0)</f>
        <v>0</v>
      </c>
      <c r="G34" s="73" t="s">
        <v>386</v>
      </c>
      <c r="H34" s="504">
        <f>IF(B34&gt;0,0.4536,0)</f>
        <v>0</v>
      </c>
      <c r="I34" s="73" t="s">
        <v>387</v>
      </c>
      <c r="J34" s="224">
        <f>D34*F34*H34</f>
        <v>0</v>
      </c>
      <c r="K34" s="73" t="s">
        <v>387</v>
      </c>
      <c r="L34" s="224">
        <f>J34/'Conversion Factors'!$D$33</f>
        <v>0</v>
      </c>
      <c r="AK34" s="209" t="str">
        <f>'US EF'!U33</f>
        <v>Nebraska</v>
      </c>
      <c r="AR34" s="513"/>
    </row>
    <row r="35" spans="1:44" ht="12.75" hidden="1">
      <c r="A35" s="221" t="s">
        <v>714</v>
      </c>
      <c r="B35" s="275"/>
      <c r="D35" s="276"/>
      <c r="E35" s="73" t="s">
        <v>386</v>
      </c>
      <c r="F35" s="71">
        <f>IF(B35&gt;0,VLOOKUP(B35,'Mobile Factors'!$E$39:$F$45,2,0),0)</f>
        <v>0</v>
      </c>
      <c r="G35" s="73" t="s">
        <v>386</v>
      </c>
      <c r="H35" s="504">
        <f>IF(B35&gt;0,0.4536,0)</f>
        <v>0</v>
      </c>
      <c r="I35" s="73" t="s">
        <v>387</v>
      </c>
      <c r="J35" s="224">
        <f>D35*F35*H35</f>
        <v>0</v>
      </c>
      <c r="K35" s="73" t="s">
        <v>387</v>
      </c>
      <c r="L35" s="224">
        <f>J35/'Conversion Factors'!$D$33</f>
        <v>0</v>
      </c>
      <c r="AK35" s="209" t="str">
        <f>'US EF'!U34</f>
        <v>Nevada</v>
      </c>
      <c r="AR35" s="513"/>
    </row>
    <row r="36" spans="37:44" ht="12.75" hidden="1">
      <c r="AK36" s="209" t="str">
        <f>'US EF'!U35</f>
        <v>New Hampshire</v>
      </c>
      <c r="AR36" s="513"/>
    </row>
    <row r="37" spans="1:44" ht="12.75" hidden="1">
      <c r="A37" s="505" t="s">
        <v>994</v>
      </c>
      <c r="AK37" s="209" t="str">
        <f>'US EF'!U36</f>
        <v>New Jersey</v>
      </c>
      <c r="AR37" s="513"/>
    </row>
    <row r="38" spans="2:44" ht="14.25" hidden="1">
      <c r="B38" s="66" t="s">
        <v>996</v>
      </c>
      <c r="F38" s="648" t="s">
        <v>689</v>
      </c>
      <c r="H38" s="648" t="s">
        <v>731</v>
      </c>
      <c r="AK38" s="209" t="str">
        <f>'US EF'!U37</f>
        <v>New Mexico</v>
      </c>
      <c r="AR38" s="513"/>
    </row>
    <row r="39" spans="2:44" ht="16.5" customHeight="1" hidden="1">
      <c r="B39" s="73" t="s">
        <v>389</v>
      </c>
      <c r="D39" s="73" t="s">
        <v>733</v>
      </c>
      <c r="F39" s="649"/>
      <c r="H39" s="649"/>
      <c r="J39" s="67" t="s">
        <v>687</v>
      </c>
      <c r="L39" s="67" t="s">
        <v>693</v>
      </c>
      <c r="AK39" s="209" t="str">
        <f>'US EF'!U38</f>
        <v>New York</v>
      </c>
      <c r="AR39" s="513"/>
    </row>
    <row r="40" spans="1:44" ht="12.75" hidden="1">
      <c r="A40" s="221" t="s">
        <v>696</v>
      </c>
      <c r="B40" s="275"/>
      <c r="D40" s="276"/>
      <c r="E40" s="73" t="s">
        <v>386</v>
      </c>
      <c r="F40" s="71">
        <f>IF(B40&gt;0,VLOOKUP(B40,AircraftHV,2,FALSE),0)</f>
        <v>0</v>
      </c>
      <c r="G40" s="73" t="s">
        <v>386</v>
      </c>
      <c r="H40" s="72">
        <f>IF(B40&gt;0,VLOOKUP(B40,AircraftHV,3,FALSE),0)</f>
        <v>0</v>
      </c>
      <c r="I40" s="73" t="s">
        <v>387</v>
      </c>
      <c r="J40" s="224">
        <f>D40*F40*H40</f>
        <v>0</v>
      </c>
      <c r="K40" s="73" t="s">
        <v>387</v>
      </c>
      <c r="L40" s="224">
        <f>J40/'Conversion Factors'!$D$33</f>
        <v>0</v>
      </c>
      <c r="AK40" s="209" t="str">
        <f>'US EF'!U39</f>
        <v>North Carolina</v>
      </c>
      <c r="AR40" s="513"/>
    </row>
    <row r="41" spans="1:44" ht="12.75" hidden="1">
      <c r="A41" s="221" t="s">
        <v>697</v>
      </c>
      <c r="B41" s="275"/>
      <c r="D41" s="276"/>
      <c r="E41" s="73" t="s">
        <v>386</v>
      </c>
      <c r="F41" s="71">
        <f>IF(B41&gt;0,VLOOKUP(B41,AircraftHV,2,FALSE),0)</f>
        <v>0</v>
      </c>
      <c r="G41" s="73" t="s">
        <v>386</v>
      </c>
      <c r="H41" s="72">
        <f>IF(B41&gt;0,VLOOKUP(B41,AircraftHV,3,FALSE),0)</f>
        <v>0</v>
      </c>
      <c r="I41" s="73" t="s">
        <v>387</v>
      </c>
      <c r="J41" s="224">
        <f>D41*F41*H41</f>
        <v>0</v>
      </c>
      <c r="K41" s="73" t="s">
        <v>387</v>
      </c>
      <c r="L41" s="224">
        <f>J41/'Conversion Factors'!$D$33</f>
        <v>0</v>
      </c>
      <c r="AK41" s="209" t="str">
        <f>'US EF'!U40</f>
        <v>North Dakota</v>
      </c>
      <c r="AR41" s="513"/>
    </row>
    <row r="42" spans="1:44" ht="12.75" hidden="1">
      <c r="A42" s="221" t="s">
        <v>698</v>
      </c>
      <c r="B42" s="275"/>
      <c r="D42" s="276"/>
      <c r="E42" s="73" t="s">
        <v>386</v>
      </c>
      <c r="F42" s="71">
        <f>IF(B42&gt;0,VLOOKUP(B42,AircraftHV,2,FALSE),0)</f>
        <v>0</v>
      </c>
      <c r="G42" s="73" t="s">
        <v>386</v>
      </c>
      <c r="H42" s="72">
        <f>IF(B42&gt;0,VLOOKUP(B42,AircraftHV,3,FALSE),0)</f>
        <v>0</v>
      </c>
      <c r="I42" s="73" t="s">
        <v>387</v>
      </c>
      <c r="J42" s="224">
        <f>D42*F42*H42</f>
        <v>0</v>
      </c>
      <c r="K42" s="73" t="s">
        <v>387</v>
      </c>
      <c r="L42" s="224">
        <f>J42/'Conversion Factors'!$D$33</f>
        <v>0</v>
      </c>
      <c r="AK42" s="209" t="str">
        <f>'US EF'!U41</f>
        <v>Ohio</v>
      </c>
      <c r="AR42" s="513"/>
    </row>
    <row r="43" spans="1:44" ht="12.75" hidden="1">
      <c r="A43" s="221" t="s">
        <v>699</v>
      </c>
      <c r="B43" s="275"/>
      <c r="D43" s="276"/>
      <c r="E43" s="73" t="s">
        <v>386</v>
      </c>
      <c r="F43" s="71">
        <f>IF(B43&gt;0,VLOOKUP(B43,AircraftHV,2,FALSE),0)</f>
        <v>0</v>
      </c>
      <c r="G43" s="73" t="s">
        <v>386</v>
      </c>
      <c r="H43" s="72">
        <f>IF(B43&gt;0,VLOOKUP(B43,AircraftHV,3,FALSE),0)</f>
        <v>0</v>
      </c>
      <c r="I43" s="73" t="s">
        <v>387</v>
      </c>
      <c r="J43" s="224">
        <f>D43*F43*H43</f>
        <v>0</v>
      </c>
      <c r="K43" s="73" t="s">
        <v>387</v>
      </c>
      <c r="L43" s="224">
        <f>J43/'Conversion Factors'!$D$33</f>
        <v>0</v>
      </c>
      <c r="AK43" s="209" t="str">
        <f>'US EF'!U42</f>
        <v>Oklahoma</v>
      </c>
      <c r="AR43" s="513"/>
    </row>
    <row r="44" spans="1:44" ht="12.75" hidden="1">
      <c r="A44" s="221" t="s">
        <v>700</v>
      </c>
      <c r="B44" s="275"/>
      <c r="D44" s="276"/>
      <c r="E44" s="73" t="s">
        <v>386</v>
      </c>
      <c r="F44" s="71">
        <f>IF(B44&gt;0,VLOOKUP(B44,AircraftHV,2,FALSE),0)</f>
        <v>0</v>
      </c>
      <c r="G44" s="73" t="s">
        <v>386</v>
      </c>
      <c r="H44" s="72">
        <f>IF(B44&gt;0,VLOOKUP(B44,AircraftHV,3,FALSE),0)</f>
        <v>0</v>
      </c>
      <c r="I44" s="73" t="s">
        <v>387</v>
      </c>
      <c r="J44" s="224">
        <f>D44*F44*H44</f>
        <v>0</v>
      </c>
      <c r="K44" s="73" t="s">
        <v>387</v>
      </c>
      <c r="L44" s="224">
        <f>J44/'Conversion Factors'!$D$33</f>
        <v>0</v>
      </c>
      <c r="AK44" s="209" t="str">
        <f>'US EF'!U43</f>
        <v>Oregon</v>
      </c>
      <c r="AR44" s="513"/>
    </row>
    <row r="45" spans="37:44" ht="12.75" hidden="1">
      <c r="AK45" s="209" t="str">
        <f>'US EF'!U44</f>
        <v>Palau</v>
      </c>
      <c r="AR45" s="513"/>
    </row>
    <row r="46" spans="1:44" ht="12.75" hidden="1">
      <c r="A46" s="505" t="s">
        <v>734</v>
      </c>
      <c r="AK46" s="209" t="str">
        <f>'US EF'!U45</f>
        <v>Pennsylvania</v>
      </c>
      <c r="AR46" s="513"/>
    </row>
    <row r="47" spans="2:44" ht="14.25" hidden="1">
      <c r="B47" s="66" t="s">
        <v>997</v>
      </c>
      <c r="F47" s="648" t="s">
        <v>689</v>
      </c>
      <c r="H47" s="648" t="s">
        <v>731</v>
      </c>
      <c r="AK47" s="209" t="str">
        <f>'US EF'!U46</f>
        <v>Puerto Rico</v>
      </c>
      <c r="AR47" s="513"/>
    </row>
    <row r="48" spans="2:44" ht="17.25" customHeight="1" hidden="1">
      <c r="B48" s="73" t="s">
        <v>389</v>
      </c>
      <c r="D48" s="73" t="s">
        <v>733</v>
      </c>
      <c r="F48" s="649"/>
      <c r="H48" s="649"/>
      <c r="J48" s="67" t="s">
        <v>687</v>
      </c>
      <c r="L48" s="67" t="s">
        <v>693</v>
      </c>
      <c r="AK48" s="209" t="str">
        <f>'US EF'!U47</f>
        <v>Rhode Island</v>
      </c>
      <c r="AR48" s="513"/>
    </row>
    <row r="49" spans="1:44" ht="12.75" hidden="1">
      <c r="A49" s="221" t="s">
        <v>696</v>
      </c>
      <c r="B49" s="275"/>
      <c r="D49" s="276"/>
      <c r="E49" s="73" t="s">
        <v>386</v>
      </c>
      <c r="F49" s="71">
        <f>IF(B49&gt;0,VLOOKUP(B49,WaterTransportationHV,2,FALSE),0)</f>
        <v>0</v>
      </c>
      <c r="G49" s="73" t="s">
        <v>386</v>
      </c>
      <c r="H49" s="72">
        <f>IF(B49&gt;0,VLOOKUP(B49,WaterTransportationHV,3,FALSE),0)</f>
        <v>0</v>
      </c>
      <c r="I49" s="73" t="s">
        <v>387</v>
      </c>
      <c r="J49" s="224">
        <f>D49*F49*H49</f>
        <v>0</v>
      </c>
      <c r="K49" s="73" t="s">
        <v>387</v>
      </c>
      <c r="L49" s="224">
        <f>J49/'Conversion Factors'!$D$33</f>
        <v>0</v>
      </c>
      <c r="AK49" s="209" t="str">
        <f>'US EF'!U48</f>
        <v>South Carolina</v>
      </c>
      <c r="AR49" s="513"/>
    </row>
    <row r="50" spans="1:44" ht="13.5" hidden="1" thickBot="1">
      <c r="A50" s="221" t="s">
        <v>697</v>
      </c>
      <c r="B50" s="275"/>
      <c r="D50" s="276"/>
      <c r="E50" s="73" t="s">
        <v>386</v>
      </c>
      <c r="F50" s="71">
        <f>IF(B50&gt;0,VLOOKUP(B50,WaterTransportationHV,2,FALSE),0)</f>
        <v>0</v>
      </c>
      <c r="G50" s="73" t="s">
        <v>386</v>
      </c>
      <c r="H50" s="72">
        <f>IF(B50&gt;0,VLOOKUP(B50,WaterTransportationHV,3,FALSE),0)</f>
        <v>0</v>
      </c>
      <c r="I50" s="73" t="s">
        <v>387</v>
      </c>
      <c r="J50" s="224">
        <f>D50*F50*H50</f>
        <v>0</v>
      </c>
      <c r="K50" s="73" t="s">
        <v>387</v>
      </c>
      <c r="L50" s="224">
        <f>J50/'Conversion Factors'!$D$33</f>
        <v>0</v>
      </c>
      <c r="AK50" s="209" t="str">
        <f>'US EF'!U49</f>
        <v>South Dakota</v>
      </c>
      <c r="AR50" s="513"/>
    </row>
    <row r="51" spans="1:44" ht="14.25" hidden="1" thickBot="1" thickTop="1">
      <c r="A51" s="221" t="s">
        <v>698</v>
      </c>
      <c r="B51" s="275"/>
      <c r="D51" s="276"/>
      <c r="E51" s="73" t="s">
        <v>386</v>
      </c>
      <c r="F51" s="71">
        <f>IF(B51&gt;0,VLOOKUP(B51,WaterTransportationHV,2,FALSE),0)</f>
        <v>0</v>
      </c>
      <c r="G51" s="73" t="s">
        <v>386</v>
      </c>
      <c r="H51" s="72">
        <f>IF(B51&gt;0,VLOOKUP(B51,WaterTransportationHV,3,FALSE),0)</f>
        <v>0</v>
      </c>
      <c r="I51" s="73" t="s">
        <v>387</v>
      </c>
      <c r="J51" s="224">
        <f>D51*F51*H51</f>
        <v>0</v>
      </c>
      <c r="K51" s="73" t="s">
        <v>387</v>
      </c>
      <c r="L51" s="224">
        <f>J51/'Conversion Factors'!$D$33</f>
        <v>0</v>
      </c>
      <c r="AK51" s="280" t="str">
        <f>'US EF'!U50</f>
        <v>Tennessee</v>
      </c>
      <c r="AR51" s="513"/>
    </row>
    <row r="52" spans="1:44" ht="13.5" hidden="1" thickTop="1">
      <c r="A52" s="221" t="s">
        <v>699</v>
      </c>
      <c r="B52" s="275"/>
      <c r="D52" s="276"/>
      <c r="E52" s="73" t="s">
        <v>386</v>
      </c>
      <c r="F52" s="71">
        <f>IF(B52&gt;0,VLOOKUP(B52,WaterTransportationHV,2,FALSE),0)</f>
        <v>0</v>
      </c>
      <c r="G52" s="73" t="s">
        <v>386</v>
      </c>
      <c r="H52" s="72">
        <f>IF(B52&gt;0,VLOOKUP(B52,WaterTransportationHV,3,FALSE),0)</f>
        <v>0</v>
      </c>
      <c r="I52" s="73" t="s">
        <v>387</v>
      </c>
      <c r="J52" s="224">
        <f>D52*F52*H52</f>
        <v>0</v>
      </c>
      <c r="K52" s="73" t="s">
        <v>387</v>
      </c>
      <c r="L52" s="224">
        <f>J52/'Conversion Factors'!$D$33</f>
        <v>0</v>
      </c>
      <c r="AK52" s="209" t="str">
        <f>'US EF'!U51</f>
        <v>Texas</v>
      </c>
      <c r="AR52" s="513"/>
    </row>
    <row r="53" spans="1:44" ht="12.75" hidden="1">
      <c r="A53" s="221" t="s">
        <v>700</v>
      </c>
      <c r="B53" s="275"/>
      <c r="D53" s="276"/>
      <c r="E53" s="73" t="s">
        <v>386</v>
      </c>
      <c r="F53" s="71">
        <f>IF(B53&gt;0,VLOOKUP(B53,WaterTransportationHV,2,FALSE),0)</f>
        <v>0</v>
      </c>
      <c r="G53" s="73" t="s">
        <v>386</v>
      </c>
      <c r="H53" s="72">
        <f>IF(B53&gt;0,VLOOKUP(B53,WaterTransportationHV,3,FALSE),0)</f>
        <v>0</v>
      </c>
      <c r="I53" s="73" t="s">
        <v>387</v>
      </c>
      <c r="J53" s="224">
        <f>D53*F53*H53</f>
        <v>0</v>
      </c>
      <c r="K53" s="73" t="s">
        <v>387</v>
      </c>
      <c r="L53" s="224">
        <f>J53/'Conversion Factors'!$D$33</f>
        <v>0</v>
      </c>
      <c r="AK53" s="209" t="str">
        <f>'US EF'!U52</f>
        <v>Utah</v>
      </c>
      <c r="AR53" s="513"/>
    </row>
    <row r="54" spans="37:44" ht="12.75" hidden="1">
      <c r="AK54" s="209" t="str">
        <f>'US EF'!U53</f>
        <v>Vermont</v>
      </c>
      <c r="AR54" s="513"/>
    </row>
    <row r="55" spans="37:44" ht="5.25" customHeight="1" hidden="1" thickBot="1">
      <c r="AK55" s="209" t="str">
        <f>'US EF'!U54</f>
        <v>Virginia</v>
      </c>
      <c r="AR55" s="513"/>
    </row>
    <row r="56" spans="2:44" s="530" customFormat="1" ht="35.25" customHeight="1" thickBot="1" thickTop="1">
      <c r="B56" s="532" t="s">
        <v>992</v>
      </c>
      <c r="AA56" s="529"/>
      <c r="AB56" s="529"/>
      <c r="AD56" s="529"/>
      <c r="AK56" s="533" t="str">
        <f>'US EF'!U55</f>
        <v>Washington</v>
      </c>
      <c r="AN56" s="531"/>
      <c r="AR56" s="513"/>
    </row>
    <row r="57" spans="37:44" ht="8.25" customHeight="1" hidden="1" thickTop="1">
      <c r="AK57" s="209" t="str">
        <f>'US EF'!U56</f>
        <v>West Virginia</v>
      </c>
      <c r="AR57" s="513"/>
    </row>
    <row r="58" spans="2:44" ht="55.5" customHeight="1" hidden="1">
      <c r="B58" s="647" t="s">
        <v>4</v>
      </c>
      <c r="C58" s="654"/>
      <c r="D58" s="654"/>
      <c r="E58" s="654"/>
      <c r="F58" s="654"/>
      <c r="G58" s="654"/>
      <c r="H58" s="654"/>
      <c r="I58" s="654"/>
      <c r="AK58" s="209" t="str">
        <f>'US EF'!U57</f>
        <v>Wisconsin</v>
      </c>
      <c r="AR58" s="513"/>
    </row>
    <row r="59" spans="2:44" ht="25.5" customHeight="1" hidden="1">
      <c r="B59" s="66" t="s">
        <v>694</v>
      </c>
      <c r="F59" s="648" t="s">
        <v>977</v>
      </c>
      <c r="H59" s="648" t="s">
        <v>978</v>
      </c>
      <c r="J59" s="648" t="s">
        <v>979</v>
      </c>
      <c r="L59" s="648" t="s">
        <v>705</v>
      </c>
      <c r="N59" s="648" t="s">
        <v>693</v>
      </c>
      <c r="AK59" s="209" t="str">
        <f>'US EF'!U58</f>
        <v>Wyoming</v>
      </c>
      <c r="AR59" s="513"/>
    </row>
    <row r="60" spans="1:64" ht="22.5" customHeight="1" hidden="1">
      <c r="A60" s="66"/>
      <c r="B60" s="73" t="s">
        <v>931</v>
      </c>
      <c r="C60" s="66"/>
      <c r="D60" s="67" t="s">
        <v>385</v>
      </c>
      <c r="F60" s="649"/>
      <c r="H60" s="649"/>
      <c r="J60" s="649"/>
      <c r="L60" s="649"/>
      <c r="N60" s="649"/>
      <c r="AA60" s="502"/>
      <c r="AB60" s="502"/>
      <c r="AC60" s="510"/>
      <c r="AD60" s="502"/>
      <c r="AE60" s="510"/>
      <c r="AF60" s="510"/>
      <c r="AG60" s="510"/>
      <c r="AH60" s="510"/>
      <c r="AI60" s="510"/>
      <c r="AJ60" s="510"/>
      <c r="AL60" s="510"/>
      <c r="AM60" s="510"/>
      <c r="AN60" s="510"/>
      <c r="AO60" s="510"/>
      <c r="AP60" s="510"/>
      <c r="AQ60" s="510"/>
      <c r="AR60" s="513"/>
      <c r="AS60" s="510"/>
      <c r="AT60" s="510"/>
      <c r="AU60" s="510"/>
      <c r="AV60" s="510"/>
      <c r="AW60" s="510"/>
      <c r="AX60" s="8"/>
      <c r="AY60" s="8"/>
      <c r="AZ60" s="8"/>
      <c r="BA60" s="8"/>
      <c r="BB60" s="8"/>
      <c r="BC60" s="8"/>
      <c r="BD60" s="8"/>
      <c r="BE60" s="8"/>
      <c r="BF60" s="8"/>
      <c r="BG60" s="8"/>
      <c r="BH60" s="8"/>
      <c r="BI60" s="8"/>
      <c r="BJ60" s="8"/>
      <c r="BK60" s="8"/>
      <c r="BL60" s="8"/>
    </row>
    <row r="61" spans="1:64" ht="12.75" hidden="1">
      <c r="A61" s="221" t="s">
        <v>696</v>
      </c>
      <c r="B61" s="275"/>
      <c r="D61" s="276"/>
      <c r="E61" s="73" t="s">
        <v>386</v>
      </c>
      <c r="F61" s="72">
        <f>IF(B61&gt;0,VLOOKUP(B61,ElectricityEFs,7,FALSE),0)</f>
        <v>0</v>
      </c>
      <c r="G61" s="261" t="s">
        <v>708</v>
      </c>
      <c r="H61" s="277"/>
      <c r="J61" s="72">
        <f>IF(H61&gt;0,H61,F61)</f>
        <v>0</v>
      </c>
      <c r="K61" s="73" t="s">
        <v>387</v>
      </c>
      <c r="L61" s="224">
        <f>J61*D61</f>
        <v>0</v>
      </c>
      <c r="M61" s="73" t="s">
        <v>387</v>
      </c>
      <c r="N61" s="271">
        <f>L61/'Conversion Factors'!$D$33</f>
        <v>0</v>
      </c>
      <c r="AA61" s="502"/>
      <c r="AB61" s="502"/>
      <c r="AC61" s="510"/>
      <c r="AD61" s="502"/>
      <c r="AE61" s="510"/>
      <c r="AF61" s="510"/>
      <c r="AG61" s="510"/>
      <c r="AH61" s="510"/>
      <c r="AI61" s="510"/>
      <c r="AJ61" s="510"/>
      <c r="AL61" s="510"/>
      <c r="AM61" s="510"/>
      <c r="AN61" s="510"/>
      <c r="AO61" s="510"/>
      <c r="AP61" s="510"/>
      <c r="AQ61" s="510"/>
      <c r="AR61" s="513"/>
      <c r="AS61" s="510"/>
      <c r="AT61" s="510"/>
      <c r="AU61" s="510"/>
      <c r="AV61" s="510"/>
      <c r="AW61" s="510"/>
      <c r="AX61" s="8"/>
      <c r="AY61" s="8"/>
      <c r="AZ61" s="8"/>
      <c r="BA61" s="8"/>
      <c r="BB61" s="8"/>
      <c r="BC61" s="8"/>
      <c r="BD61" s="8"/>
      <c r="BE61" s="8"/>
      <c r="BF61" s="8"/>
      <c r="BG61" s="8"/>
      <c r="BH61" s="8"/>
      <c r="BI61" s="8"/>
      <c r="BJ61" s="8"/>
      <c r="BK61" s="8"/>
      <c r="BL61" s="8"/>
    </row>
    <row r="62" spans="1:64" ht="24.75" customHeight="1" hidden="1">
      <c r="A62" s="257"/>
      <c r="B62" s="220" t="s">
        <v>695</v>
      </c>
      <c r="F62" s="650" t="s">
        <v>980</v>
      </c>
      <c r="G62" s="207"/>
      <c r="H62" s="650" t="s">
        <v>982</v>
      </c>
      <c r="I62" s="66"/>
      <c r="J62" s="650" t="s">
        <v>984</v>
      </c>
      <c r="K62" s="66"/>
      <c r="L62" s="650" t="s">
        <v>985</v>
      </c>
      <c r="M62" s="66"/>
      <c r="N62" s="650" t="s">
        <v>986</v>
      </c>
      <c r="O62" s="66"/>
      <c r="P62" s="648" t="s">
        <v>987</v>
      </c>
      <c r="Q62" s="66"/>
      <c r="R62" s="648" t="s">
        <v>983</v>
      </c>
      <c r="S62" s="66"/>
      <c r="T62" s="648" t="s">
        <v>704</v>
      </c>
      <c r="U62" s="66"/>
      <c r="V62" s="648" t="s">
        <v>706</v>
      </c>
      <c r="W62" s="66"/>
      <c r="X62" s="648" t="s">
        <v>707</v>
      </c>
      <c r="AA62" s="502"/>
      <c r="AB62" s="502"/>
      <c r="AC62" s="510"/>
      <c r="AD62" s="502"/>
      <c r="AE62" s="510"/>
      <c r="AF62" s="510"/>
      <c r="AG62" s="510"/>
      <c r="AH62" s="510"/>
      <c r="AI62" s="510"/>
      <c r="AJ62" s="510"/>
      <c r="AL62" s="510"/>
      <c r="AM62" s="510"/>
      <c r="AN62" s="510"/>
      <c r="AO62" s="510"/>
      <c r="AP62" s="510"/>
      <c r="AQ62" s="510"/>
      <c r="AR62" s="513"/>
      <c r="AS62" s="510"/>
      <c r="AT62" s="510"/>
      <c r="AU62" s="510"/>
      <c r="AV62" s="510"/>
      <c r="AW62" s="510"/>
      <c r="AX62" s="8"/>
      <c r="AY62" s="8"/>
      <c r="AZ62" s="8"/>
      <c r="BA62" s="8"/>
      <c r="BB62" s="8"/>
      <c r="BC62" s="8"/>
      <c r="BD62" s="8"/>
      <c r="BE62" s="8"/>
      <c r="BF62" s="8"/>
      <c r="BG62" s="8"/>
      <c r="BH62" s="8"/>
      <c r="BI62" s="8"/>
      <c r="BJ62" s="8"/>
      <c r="BK62" s="8"/>
      <c r="BL62" s="8"/>
    </row>
    <row r="63" spans="1:64" ht="23.25" customHeight="1" hidden="1">
      <c r="A63" s="257"/>
      <c r="B63" s="73" t="s">
        <v>931</v>
      </c>
      <c r="C63" s="66"/>
      <c r="D63" s="67" t="s">
        <v>385</v>
      </c>
      <c r="F63" s="649"/>
      <c r="G63" s="270" t="s">
        <v>708</v>
      </c>
      <c r="H63" s="649"/>
      <c r="I63" s="270" t="s">
        <v>708</v>
      </c>
      <c r="J63" s="649"/>
      <c r="K63" s="270"/>
      <c r="L63" s="649"/>
      <c r="M63" s="270"/>
      <c r="N63" s="649"/>
      <c r="O63" s="270"/>
      <c r="P63" s="649"/>
      <c r="R63" s="649"/>
      <c r="S63" s="270" t="s">
        <v>708</v>
      </c>
      <c r="T63" s="649"/>
      <c r="V63" s="649"/>
      <c r="W63" s="270" t="s">
        <v>708</v>
      </c>
      <c r="X63" s="649"/>
      <c r="AA63" s="502"/>
      <c r="AB63" s="502"/>
      <c r="AC63" s="510"/>
      <c r="AD63" s="502"/>
      <c r="AE63" s="510"/>
      <c r="AF63" s="510"/>
      <c r="AG63" s="510"/>
      <c r="AH63" s="510"/>
      <c r="AI63" s="510"/>
      <c r="AJ63" s="510"/>
      <c r="AL63" s="510"/>
      <c r="AM63" s="510"/>
      <c r="AN63" s="510"/>
      <c r="AO63" s="510"/>
      <c r="AP63" s="510"/>
      <c r="AQ63" s="510"/>
      <c r="AR63" s="513"/>
      <c r="AS63" s="510"/>
      <c r="AT63" s="510"/>
      <c r="AU63" s="510"/>
      <c r="AV63" s="510"/>
      <c r="AW63" s="510"/>
      <c r="AX63" s="8"/>
      <c r="AY63" s="8"/>
      <c r="AZ63" s="8"/>
      <c r="BA63" s="8"/>
      <c r="BB63" s="8"/>
      <c r="BC63" s="8"/>
      <c r="BD63" s="8"/>
      <c r="BE63" s="8"/>
      <c r="BF63" s="8"/>
      <c r="BG63" s="8"/>
      <c r="BH63" s="8"/>
      <c r="BI63" s="8"/>
      <c r="BJ63" s="8"/>
      <c r="BK63" s="8"/>
      <c r="BL63" s="8"/>
    </row>
    <row r="64" spans="1:64" ht="12.75" hidden="1">
      <c r="A64" s="221" t="s">
        <v>938</v>
      </c>
      <c r="B64" s="69">
        <f>IF(B61&gt;0,B61,0)</f>
        <v>0</v>
      </c>
      <c r="C64" s="66"/>
      <c r="D64" s="219">
        <f>D61</f>
        <v>0</v>
      </c>
      <c r="E64" s="73" t="s">
        <v>386</v>
      </c>
      <c r="F64" s="255">
        <f>IF(B64&gt;0,VLOOKUP(B64,ElectricityEFs,8,FALSE),0)</f>
        <v>0</v>
      </c>
      <c r="G64" s="73" t="s">
        <v>386</v>
      </c>
      <c r="H64" s="256">
        <f>IF(B64&gt;0,VLOOKUP(B64,ElectricityEFs,9,FALSE),0)</f>
        <v>0</v>
      </c>
      <c r="J64" s="277"/>
      <c r="L64" s="277"/>
      <c r="M64" s="73" t="s">
        <v>387</v>
      </c>
      <c r="N64" s="72">
        <f>IF(J64&gt;0,J64,F64)</f>
        <v>0</v>
      </c>
      <c r="O64" s="66"/>
      <c r="P64" s="72">
        <f>IF(L64&gt;0,L64,H64)</f>
        <v>0</v>
      </c>
      <c r="Q64" s="73" t="s">
        <v>387</v>
      </c>
      <c r="R64" s="225">
        <f>IF(D64&gt;0,D64*N64,0)</f>
        <v>0</v>
      </c>
      <c r="S64" s="73" t="s">
        <v>387</v>
      </c>
      <c r="T64" s="225">
        <f>IF(D64&gt;0,D64*P64,0)</f>
        <v>0</v>
      </c>
      <c r="U64" s="73" t="s">
        <v>387</v>
      </c>
      <c r="V64" s="224">
        <f>(R64*'Table 1. GWPs'!$D$7)/'Conversion Factors'!$D$33</f>
        <v>0</v>
      </c>
      <c r="W64" s="73" t="s">
        <v>387</v>
      </c>
      <c r="X64" s="224">
        <f>(T64*'Table 1. GWPs'!$D$8)/'Conversion Factors'!$D$33</f>
        <v>0</v>
      </c>
      <c r="AA64" s="502"/>
      <c r="AB64" s="502"/>
      <c r="AC64" s="510"/>
      <c r="AD64" s="502"/>
      <c r="AE64" s="510"/>
      <c r="AF64" s="510"/>
      <c r="AG64" s="510"/>
      <c r="AH64" s="510"/>
      <c r="AI64" s="510"/>
      <c r="AJ64" s="510"/>
      <c r="AL64" s="510"/>
      <c r="AM64" s="510"/>
      <c r="AN64" s="510"/>
      <c r="AO64" s="510"/>
      <c r="AP64" s="510"/>
      <c r="AQ64" s="510"/>
      <c r="AR64" s="513"/>
      <c r="AS64" s="510"/>
      <c r="AT64" s="510"/>
      <c r="AU64" s="510"/>
      <c r="AV64" s="510"/>
      <c r="AW64" s="510"/>
      <c r="AX64" s="8"/>
      <c r="AY64" s="8"/>
      <c r="AZ64" s="8"/>
      <c r="BA64" s="8"/>
      <c r="BB64" s="8"/>
      <c r="BC64" s="8"/>
      <c r="BD64" s="8"/>
      <c r="BE64" s="8"/>
      <c r="BF64" s="8"/>
      <c r="BG64" s="8"/>
      <c r="BH64" s="8"/>
      <c r="BI64" s="8"/>
      <c r="BJ64" s="8"/>
      <c r="BK64" s="8"/>
      <c r="BL64" s="8"/>
    </row>
    <row r="65" spans="1:64" ht="12.75" hidden="1">
      <c r="A65" s="221"/>
      <c r="B65" s="222"/>
      <c r="D65" s="265"/>
      <c r="E65" s="73"/>
      <c r="F65" s="266"/>
      <c r="G65" s="73"/>
      <c r="H65" s="267"/>
      <c r="M65" s="73"/>
      <c r="N65" s="268"/>
      <c r="O65" s="269"/>
      <c r="P65" s="268"/>
      <c r="Q65" s="269"/>
      <c r="R65" s="268"/>
      <c r="S65" s="269"/>
      <c r="T65" s="268"/>
      <c r="AA65" s="502"/>
      <c r="AB65" s="502"/>
      <c r="AC65" s="510"/>
      <c r="AD65" s="502"/>
      <c r="AE65" s="510"/>
      <c r="AF65" s="510"/>
      <c r="AG65" s="510"/>
      <c r="AH65" s="510"/>
      <c r="AI65" s="510"/>
      <c r="AJ65" s="510"/>
      <c r="AK65" s="510"/>
      <c r="AL65" s="510"/>
      <c r="AM65" s="510"/>
      <c r="AN65" s="510"/>
      <c r="AO65" s="510"/>
      <c r="AP65" s="510"/>
      <c r="AQ65" s="510"/>
      <c r="AR65" s="513"/>
      <c r="AS65" s="510"/>
      <c r="AT65" s="510"/>
      <c r="AU65" s="510"/>
      <c r="AV65" s="510"/>
      <c r="AW65" s="510"/>
      <c r="AX65" s="8"/>
      <c r="AY65" s="8"/>
      <c r="AZ65" s="8"/>
      <c r="BA65" s="8"/>
      <c r="BB65" s="8"/>
      <c r="BC65" s="8"/>
      <c r="BD65" s="8"/>
      <c r="BE65" s="8"/>
      <c r="BF65" s="8"/>
      <c r="BG65" s="8"/>
      <c r="BH65" s="8"/>
      <c r="BI65" s="8"/>
      <c r="BJ65" s="8"/>
      <c r="BK65" s="8"/>
      <c r="BL65" s="8"/>
    </row>
    <row r="66" spans="1:64" ht="19.5" customHeight="1" hidden="1">
      <c r="A66" s="221"/>
      <c r="B66" s="506" t="s">
        <v>75</v>
      </c>
      <c r="D66" s="265"/>
      <c r="E66" s="73"/>
      <c r="F66" s="266"/>
      <c r="G66" s="73"/>
      <c r="H66" s="267"/>
      <c r="M66" s="73"/>
      <c r="N66" s="268"/>
      <c r="O66" s="269"/>
      <c r="P66" s="268"/>
      <c r="Q66" s="269"/>
      <c r="R66" s="268"/>
      <c r="S66" s="269"/>
      <c r="T66" s="268"/>
      <c r="AA66" s="502"/>
      <c r="AB66" s="502"/>
      <c r="AC66" s="510"/>
      <c r="AD66" s="502"/>
      <c r="AE66" s="510"/>
      <c r="AF66" s="510"/>
      <c r="AG66" s="510"/>
      <c r="AH66" s="510"/>
      <c r="AI66" s="510"/>
      <c r="AJ66" s="510"/>
      <c r="AK66" s="510"/>
      <c r="AL66" s="510"/>
      <c r="AM66" s="510"/>
      <c r="AN66" s="510"/>
      <c r="AO66" s="510"/>
      <c r="AP66" s="510"/>
      <c r="AQ66" s="510"/>
      <c r="AR66" s="513"/>
      <c r="AS66" s="510"/>
      <c r="AT66" s="510"/>
      <c r="AU66" s="510"/>
      <c r="AV66" s="510"/>
      <c r="AW66" s="510"/>
      <c r="AX66" s="8"/>
      <c r="AY66" s="8"/>
      <c r="AZ66" s="8"/>
      <c r="BA66" s="8"/>
      <c r="BB66" s="8"/>
      <c r="BC66" s="8"/>
      <c r="BD66" s="8"/>
      <c r="BE66" s="8"/>
      <c r="BF66" s="8"/>
      <c r="BG66" s="8"/>
      <c r="BH66" s="8"/>
      <c r="BI66" s="8"/>
      <c r="BJ66" s="8"/>
      <c r="BK66" s="8"/>
      <c r="BL66" s="8"/>
    </row>
    <row r="67" spans="1:64" ht="30" customHeight="1" hidden="1">
      <c r="A67" s="257"/>
      <c r="B67" s="73" t="s">
        <v>931</v>
      </c>
      <c r="C67" s="66"/>
      <c r="D67" s="67" t="s">
        <v>385</v>
      </c>
      <c r="E67" s="66"/>
      <c r="F67" s="67" t="s">
        <v>981</v>
      </c>
      <c r="G67" s="66"/>
      <c r="H67" s="67" t="s">
        <v>978</v>
      </c>
      <c r="I67" s="66"/>
      <c r="J67" s="67" t="s">
        <v>979</v>
      </c>
      <c r="K67" s="66"/>
      <c r="L67" s="67" t="s">
        <v>705</v>
      </c>
      <c r="M67" s="66"/>
      <c r="N67" s="67" t="s">
        <v>693</v>
      </c>
      <c r="AA67" s="502"/>
      <c r="AB67" s="502"/>
      <c r="AC67" s="510"/>
      <c r="AD67" s="502"/>
      <c r="AE67" s="510"/>
      <c r="AF67" s="510"/>
      <c r="AG67" s="510"/>
      <c r="AH67" s="510"/>
      <c r="AI67" s="510"/>
      <c r="AJ67" s="510"/>
      <c r="AK67" s="510"/>
      <c r="AL67" s="510"/>
      <c r="AM67" s="510"/>
      <c r="AN67" s="510"/>
      <c r="AO67" s="510"/>
      <c r="AP67" s="510"/>
      <c r="AQ67" s="510"/>
      <c r="AR67" s="513"/>
      <c r="AS67" s="510"/>
      <c r="AT67" s="510"/>
      <c r="AU67" s="510"/>
      <c r="AV67" s="510"/>
      <c r="AW67" s="510"/>
      <c r="AX67" s="8"/>
      <c r="AY67" s="8"/>
      <c r="AZ67" s="8"/>
      <c r="BA67" s="8"/>
      <c r="BB67" s="8"/>
      <c r="BC67" s="8"/>
      <c r="BD67" s="8"/>
      <c r="BE67" s="8"/>
      <c r="BF67" s="8"/>
      <c r="BG67" s="8"/>
      <c r="BH67" s="8"/>
      <c r="BI67" s="8"/>
      <c r="BJ67" s="8"/>
      <c r="BK67" s="8"/>
      <c r="BL67" s="8"/>
    </row>
    <row r="68" spans="1:64" ht="12.75" hidden="1">
      <c r="A68" s="221" t="s">
        <v>697</v>
      </c>
      <c r="B68" s="275"/>
      <c r="D68" s="276"/>
      <c r="E68" s="73" t="s">
        <v>386</v>
      </c>
      <c r="F68" s="72">
        <f>IF(B68&gt;0,VLOOKUP(B68,ElectricityEFs,7,FALSE),0)</f>
        <v>0</v>
      </c>
      <c r="G68" s="261" t="s">
        <v>708</v>
      </c>
      <c r="H68" s="277"/>
      <c r="J68" s="72">
        <f>IF(H68&gt;0,H68,F68)</f>
        <v>0</v>
      </c>
      <c r="K68" s="73" t="s">
        <v>387</v>
      </c>
      <c r="L68" s="224">
        <f>J68*D68</f>
        <v>0</v>
      </c>
      <c r="M68" s="73" t="s">
        <v>387</v>
      </c>
      <c r="N68" s="271">
        <f>L68/'Conversion Factors'!$D$33</f>
        <v>0</v>
      </c>
      <c r="AA68" s="502"/>
      <c r="AB68" s="502"/>
      <c r="AC68" s="510"/>
      <c r="AD68" s="502"/>
      <c r="AE68" s="510"/>
      <c r="AF68" s="510"/>
      <c r="AG68" s="510"/>
      <c r="AH68" s="510"/>
      <c r="AI68" s="510"/>
      <c r="AJ68" s="510"/>
      <c r="AK68" s="510"/>
      <c r="AL68" s="510"/>
      <c r="AM68" s="510"/>
      <c r="AN68" s="510"/>
      <c r="AO68" s="510"/>
      <c r="AP68" s="510"/>
      <c r="AQ68" s="510"/>
      <c r="AR68" s="513"/>
      <c r="AS68" s="510"/>
      <c r="AT68" s="510"/>
      <c r="AU68" s="510"/>
      <c r="AV68" s="510"/>
      <c r="AW68" s="510"/>
      <c r="AX68" s="8"/>
      <c r="AY68" s="8"/>
      <c r="AZ68" s="8"/>
      <c r="BA68" s="8"/>
      <c r="BB68" s="8"/>
      <c r="BC68" s="8"/>
      <c r="BD68" s="8"/>
      <c r="BE68" s="8"/>
      <c r="BF68" s="8"/>
      <c r="BG68" s="8"/>
      <c r="BH68" s="8"/>
      <c r="BI68" s="8"/>
      <c r="BJ68" s="8"/>
      <c r="BK68" s="8"/>
      <c r="BL68" s="8"/>
    </row>
    <row r="69" spans="1:44" ht="25.5" customHeight="1" hidden="1">
      <c r="A69" s="257"/>
      <c r="B69" s="220" t="s">
        <v>695</v>
      </c>
      <c r="G69" s="207"/>
      <c r="AR69" s="513"/>
    </row>
    <row r="70" spans="1:44" ht="27.75" customHeight="1" hidden="1">
      <c r="A70" s="257"/>
      <c r="B70" s="73" t="s">
        <v>931</v>
      </c>
      <c r="D70" s="67" t="s">
        <v>385</v>
      </c>
      <c r="F70" s="67" t="s">
        <v>980</v>
      </c>
      <c r="G70" s="270" t="s">
        <v>708</v>
      </c>
      <c r="H70" s="67" t="s">
        <v>982</v>
      </c>
      <c r="I70" s="270" t="s">
        <v>708</v>
      </c>
      <c r="J70" s="67" t="s">
        <v>984</v>
      </c>
      <c r="K70" s="270"/>
      <c r="L70" s="67" t="s">
        <v>985</v>
      </c>
      <c r="M70" s="270"/>
      <c r="N70" s="67" t="s">
        <v>986</v>
      </c>
      <c r="O70" s="270"/>
      <c r="P70" s="67" t="s">
        <v>987</v>
      </c>
      <c r="R70" s="67" t="s">
        <v>983</v>
      </c>
      <c r="S70" s="270" t="s">
        <v>708</v>
      </c>
      <c r="T70" s="67" t="s">
        <v>704</v>
      </c>
      <c r="V70" s="67" t="s">
        <v>706</v>
      </c>
      <c r="W70" s="270" t="s">
        <v>708</v>
      </c>
      <c r="X70" s="67" t="s">
        <v>707</v>
      </c>
      <c r="AR70" s="513"/>
    </row>
    <row r="71" spans="1:44" ht="12.75" hidden="1">
      <c r="A71" s="221" t="s">
        <v>939</v>
      </c>
      <c r="B71" s="69">
        <f>IF(B68&gt;0,B68,0)</f>
        <v>0</v>
      </c>
      <c r="D71" s="219">
        <f>D68</f>
        <v>0</v>
      </c>
      <c r="E71" s="73" t="s">
        <v>386</v>
      </c>
      <c r="F71" s="255">
        <f>IF(B71&gt;0,VLOOKUP(B71,ElectricityEFs,8,FALSE),0)</f>
        <v>0</v>
      </c>
      <c r="G71" s="73" t="s">
        <v>386</v>
      </c>
      <c r="H71" s="256">
        <f>IF(B71&gt;0,VLOOKUP(B71,ElectricityEFs,9,FALSE),0)</f>
        <v>0</v>
      </c>
      <c r="J71" s="277"/>
      <c r="L71" s="277"/>
      <c r="M71" s="73" t="s">
        <v>387</v>
      </c>
      <c r="N71" s="72">
        <f>IF(J71&gt;0,J71,F71)</f>
        <v>0</v>
      </c>
      <c r="P71" s="72">
        <f>IF(L71&gt;0,L71,H71)</f>
        <v>0</v>
      </c>
      <c r="Q71" s="73" t="s">
        <v>387</v>
      </c>
      <c r="R71" s="225">
        <f>IF(D71&gt;0,D71*N71,0)</f>
        <v>0</v>
      </c>
      <c r="S71" s="73" t="s">
        <v>387</v>
      </c>
      <c r="T71" s="225">
        <f>IF(D71&gt;0,D71*P71,0)</f>
        <v>0</v>
      </c>
      <c r="U71" s="73" t="s">
        <v>387</v>
      </c>
      <c r="V71" s="224">
        <f>(R71*'Table 1. GWPs'!$D$7)/'Conversion Factors'!$D$33</f>
        <v>0</v>
      </c>
      <c r="W71" s="73" t="s">
        <v>387</v>
      </c>
      <c r="X71" s="224">
        <f>(T71*'Table 1. GWPs'!$D$8)/'Conversion Factors'!$D$33</f>
        <v>0</v>
      </c>
      <c r="AR71" s="513"/>
    </row>
    <row r="72" ht="13.5" hidden="1" thickBot="1">
      <c r="AR72" s="513"/>
    </row>
    <row r="73" spans="2:44" s="530" customFormat="1" ht="35.25" customHeight="1" thickBot="1" thickTop="1">
      <c r="B73" s="532" t="s">
        <v>993</v>
      </c>
      <c r="AA73" s="529"/>
      <c r="AB73" s="529"/>
      <c r="AD73" s="529"/>
      <c r="AN73" s="531"/>
      <c r="AR73" s="513"/>
    </row>
    <row r="74" spans="2:44" ht="43.5" customHeight="1" hidden="1" thickTop="1">
      <c r="B74" s="647" t="s">
        <v>18</v>
      </c>
      <c r="C74" s="654"/>
      <c r="D74" s="654"/>
      <c r="E74" s="654"/>
      <c r="F74" s="654"/>
      <c r="G74" s="654"/>
      <c r="H74" s="654"/>
      <c r="AR74" s="513"/>
    </row>
    <row r="75" spans="2:44" ht="8.25" customHeight="1" hidden="1">
      <c r="B75" s="206"/>
      <c r="AR75" s="513"/>
    </row>
    <row r="76" spans="1:44" ht="12.75" hidden="1">
      <c r="A76" s="505" t="s">
        <v>267</v>
      </c>
      <c r="AR76" s="513"/>
    </row>
    <row r="77" spans="2:44" ht="15" customHeight="1" hidden="1">
      <c r="B77" s="576" t="s">
        <v>694</v>
      </c>
      <c r="D77" s="214"/>
      <c r="F77" s="214"/>
      <c r="G77" s="214"/>
      <c r="H77" s="648" t="s">
        <v>689</v>
      </c>
      <c r="J77" s="648" t="s">
        <v>692</v>
      </c>
      <c r="L77" s="214"/>
      <c r="N77" s="648" t="s">
        <v>705</v>
      </c>
      <c r="P77" s="648" t="s">
        <v>693</v>
      </c>
      <c r="AR77" s="513"/>
    </row>
    <row r="78" spans="2:44" ht="12.75" hidden="1">
      <c r="B78" s="73" t="s">
        <v>680</v>
      </c>
      <c r="D78" s="73" t="s">
        <v>681</v>
      </c>
      <c r="F78" s="73" t="s">
        <v>688</v>
      </c>
      <c r="H78" s="649"/>
      <c r="J78" s="649"/>
      <c r="L78" s="67" t="s">
        <v>691</v>
      </c>
      <c r="N78" s="649"/>
      <c r="P78" s="649"/>
      <c r="AR78" s="513"/>
    </row>
    <row r="79" spans="1:44" ht="12.75" hidden="1">
      <c r="A79" s="221" t="s">
        <v>696</v>
      </c>
      <c r="B79" s="275"/>
      <c r="D79" s="275"/>
      <c r="F79" s="276"/>
      <c r="G79" s="73" t="s">
        <v>386</v>
      </c>
      <c r="H79" s="215">
        <f>IF(B79&gt;0,(VLOOKUP(B79,CoalHV,3,FALSE)/'Conversion Factors'!$D$33),0)</f>
        <v>0</v>
      </c>
      <c r="I79" s="73" t="s">
        <v>386</v>
      </c>
      <c r="J79" s="216">
        <f>IF(B79&gt;0,VLOOKUP(B79,CoalCC,3,FALSE),0)</f>
        <v>0</v>
      </c>
      <c r="K79" s="73" t="s">
        <v>386</v>
      </c>
      <c r="L79" s="218">
        <f>IF(D79&gt;0,VLOOKUP(D79,CoalOF,3,FALSE),0)</f>
        <v>0</v>
      </c>
      <c r="M79" s="73" t="s">
        <v>387</v>
      </c>
      <c r="N79" s="224">
        <f>F79*H79*J79*L79*44/12</f>
        <v>0</v>
      </c>
      <c r="O79" s="73" t="s">
        <v>387</v>
      </c>
      <c r="P79" s="224">
        <f>N79/'Conversion Factors'!$D$33</f>
        <v>0</v>
      </c>
      <c r="AR79" s="513"/>
    </row>
    <row r="80" spans="1:44" ht="12.75" hidden="1">
      <c r="A80" s="221" t="s">
        <v>697</v>
      </c>
      <c r="B80" s="275"/>
      <c r="D80" s="275"/>
      <c r="F80" s="276"/>
      <c r="G80" s="73" t="s">
        <v>386</v>
      </c>
      <c r="H80" s="215">
        <f>IF(B80&gt;0,(VLOOKUP(B80,CoalHV,3,FALSE)/'Conversion Factors'!$D$33),0)</f>
        <v>0</v>
      </c>
      <c r="I80" s="73" t="s">
        <v>386</v>
      </c>
      <c r="J80" s="216">
        <f>IF(B80&gt;0,VLOOKUP(B80,CoalCC,3,FALSE),0)</f>
        <v>0</v>
      </c>
      <c r="K80" s="73" t="s">
        <v>386</v>
      </c>
      <c r="L80" s="218">
        <f>IF(D80&gt;0,VLOOKUP(D80,CoalOF,3,FALSE),0)</f>
        <v>0</v>
      </c>
      <c r="M80" s="73" t="s">
        <v>387</v>
      </c>
      <c r="N80" s="224">
        <f>F80*H80*J80*L80*44/12</f>
        <v>0</v>
      </c>
      <c r="O80" s="73" t="s">
        <v>387</v>
      </c>
      <c r="P80" s="224">
        <f>N80/'Conversion Factors'!$D$33</f>
        <v>0</v>
      </c>
      <c r="AR80" s="513"/>
    </row>
    <row r="81" spans="1:44" ht="12.75" hidden="1">
      <c r="A81" s="221" t="s">
        <v>698</v>
      </c>
      <c r="B81" s="275"/>
      <c r="D81" s="275"/>
      <c r="F81" s="276"/>
      <c r="G81" s="73" t="s">
        <v>386</v>
      </c>
      <c r="H81" s="215">
        <f>IF(B81&gt;0,(VLOOKUP(B81,CoalHV,3,FALSE)/'Conversion Factors'!$D$33),0)</f>
        <v>0</v>
      </c>
      <c r="I81" s="73" t="s">
        <v>386</v>
      </c>
      <c r="J81" s="216">
        <f>IF(B81&gt;0,VLOOKUP(B81,CoalCC,3,FALSE),0)</f>
        <v>0</v>
      </c>
      <c r="K81" s="73" t="s">
        <v>386</v>
      </c>
      <c r="L81" s="218">
        <f>IF(D81&gt;0,VLOOKUP(D81,CoalOF,3,FALSE),0)</f>
        <v>0</v>
      </c>
      <c r="M81" s="73" t="s">
        <v>387</v>
      </c>
      <c r="N81" s="224">
        <f>F81*H81*J81*L81*44/12</f>
        <v>0</v>
      </c>
      <c r="O81" s="73" t="s">
        <v>387</v>
      </c>
      <c r="P81" s="224">
        <f>N81/'Conversion Factors'!$D$33</f>
        <v>0</v>
      </c>
      <c r="AR81" s="513"/>
    </row>
    <row r="82" spans="1:44" ht="12.75" hidden="1">
      <c r="A82" s="221" t="s">
        <v>699</v>
      </c>
      <c r="B82" s="275"/>
      <c r="D82" s="275"/>
      <c r="F82" s="276"/>
      <c r="G82" s="73" t="s">
        <v>386</v>
      </c>
      <c r="H82" s="215">
        <f>IF(B82&gt;0,(VLOOKUP(B82,CoalHV,3,FALSE)/'Conversion Factors'!$D$33),0)</f>
        <v>0</v>
      </c>
      <c r="I82" s="73" t="s">
        <v>386</v>
      </c>
      <c r="J82" s="216">
        <f>IF(B82&gt;0,VLOOKUP(B82,CoalCC,3,FALSE),0)</f>
        <v>0</v>
      </c>
      <c r="K82" s="73" t="s">
        <v>386</v>
      </c>
      <c r="L82" s="218">
        <f>IF(D82&gt;0,VLOOKUP(D82,CoalOF,3,FALSE),0)</f>
        <v>0</v>
      </c>
      <c r="M82" s="73" t="s">
        <v>387</v>
      </c>
      <c r="N82" s="224">
        <f>F82*H82*J82*L82*44/12</f>
        <v>0</v>
      </c>
      <c r="O82" s="73" t="s">
        <v>387</v>
      </c>
      <c r="P82" s="224">
        <f>N82/'Conversion Factors'!$D$33</f>
        <v>0</v>
      </c>
      <c r="AR82" s="513"/>
    </row>
    <row r="83" spans="1:44" ht="12.75" hidden="1">
      <c r="A83" s="221" t="s">
        <v>700</v>
      </c>
      <c r="B83" s="275"/>
      <c r="D83" s="275"/>
      <c r="F83" s="276"/>
      <c r="G83" s="73" t="s">
        <v>386</v>
      </c>
      <c r="H83" s="215">
        <f>IF(B83&gt;0,(VLOOKUP(B83,CoalHV,3,FALSE)/'Conversion Factors'!$D$33),0)</f>
        <v>0</v>
      </c>
      <c r="I83" s="73" t="s">
        <v>386</v>
      </c>
      <c r="J83" s="216">
        <f>IF(B83&gt;0,VLOOKUP(B83,CoalCC,3,FALSE),0)</f>
        <v>0</v>
      </c>
      <c r="K83" s="73" t="s">
        <v>386</v>
      </c>
      <c r="L83" s="218">
        <f>IF(D83&gt;0,VLOOKUP(D83,CoalOF,3,FALSE),0)</f>
        <v>0</v>
      </c>
      <c r="M83" s="73" t="s">
        <v>387</v>
      </c>
      <c r="N83" s="224">
        <f>F83*H83*J83*L83*44/12</f>
        <v>0</v>
      </c>
      <c r="O83" s="73" t="s">
        <v>387</v>
      </c>
      <c r="P83" s="224">
        <f>N83/'Conversion Factors'!$D$33</f>
        <v>0</v>
      </c>
      <c r="AR83" s="513"/>
    </row>
    <row r="84" ht="12.75" hidden="1">
      <c r="AR84" s="513"/>
    </row>
    <row r="85" spans="2:44" ht="14.25" hidden="1">
      <c r="B85" s="220" t="s">
        <v>695</v>
      </c>
      <c r="H85" s="648" t="s">
        <v>689</v>
      </c>
      <c r="J85" s="648" t="s">
        <v>701</v>
      </c>
      <c r="K85" s="207" t="s">
        <v>708</v>
      </c>
      <c r="L85" s="648" t="s">
        <v>702</v>
      </c>
      <c r="N85" s="648" t="s">
        <v>703</v>
      </c>
      <c r="O85" s="207" t="s">
        <v>708</v>
      </c>
      <c r="P85" s="648" t="s">
        <v>704</v>
      </c>
      <c r="R85" s="648" t="s">
        <v>706</v>
      </c>
      <c r="S85" s="207" t="s">
        <v>708</v>
      </c>
      <c r="T85" s="648" t="s">
        <v>707</v>
      </c>
      <c r="AR85" s="513"/>
    </row>
    <row r="86" spans="2:44" ht="12.75" hidden="1">
      <c r="B86" s="73" t="s">
        <v>680</v>
      </c>
      <c r="D86" s="73" t="s">
        <v>681</v>
      </c>
      <c r="F86" s="73" t="s">
        <v>688</v>
      </c>
      <c r="H86" s="649"/>
      <c r="J86" s="649"/>
      <c r="K86" s="67"/>
      <c r="L86" s="649"/>
      <c r="N86" s="649"/>
      <c r="O86" s="67"/>
      <c r="P86" s="649"/>
      <c r="R86" s="649"/>
      <c r="S86" s="67"/>
      <c r="T86" s="649"/>
      <c r="AR86" s="513"/>
    </row>
    <row r="87" spans="1:44" ht="12.75" hidden="1">
      <c r="A87" s="221" t="s">
        <v>938</v>
      </c>
      <c r="B87" s="69">
        <f>IF(B79&gt;0,B79,"")</f>
      </c>
      <c r="D87" s="69">
        <f>IF(D79&gt;0,D79,"")</f>
      </c>
      <c r="F87" s="219">
        <f>IF(F79&gt;0,F79,0)</f>
        <v>0</v>
      </c>
      <c r="G87" s="73" t="s">
        <v>386</v>
      </c>
      <c r="H87" s="71">
        <f>IF(H79&gt;0,H79,0)</f>
        <v>0</v>
      </c>
      <c r="I87" s="73" t="s">
        <v>386</v>
      </c>
      <c r="J87" s="71">
        <f>'NonCO2 Emission Factors'!$C$9</f>
        <v>0.010526315789473686</v>
      </c>
      <c r="K87" s="73" t="s">
        <v>386</v>
      </c>
      <c r="L87" s="71">
        <f>'NonCO2 Emission Factors'!$E$8</f>
        <v>0.0014736842105263158</v>
      </c>
      <c r="M87" s="73" t="s">
        <v>387</v>
      </c>
      <c r="N87" s="226">
        <f>IF(F87&gt;0,F87*H87*J87,0)</f>
        <v>0</v>
      </c>
      <c r="O87" s="73" t="s">
        <v>387</v>
      </c>
      <c r="P87" s="227">
        <f>IF(F87&gt;0,F87*H87*L87,0)</f>
        <v>0</v>
      </c>
      <c r="Q87" s="73" t="s">
        <v>387</v>
      </c>
      <c r="R87" s="224">
        <f>(N87*'Table 1. GWPs'!$D$7)/'Conversion Factors'!$D$33</f>
        <v>0</v>
      </c>
      <c r="S87" s="73" t="s">
        <v>387</v>
      </c>
      <c r="T87" s="224">
        <f>(P87*'Table 1. GWPs'!$D$8)/'Conversion Factors'!$D$33</f>
        <v>0</v>
      </c>
      <c r="AR87" s="513"/>
    </row>
    <row r="88" spans="1:44" ht="12.75" hidden="1">
      <c r="A88" s="221" t="s">
        <v>939</v>
      </c>
      <c r="B88" s="69">
        <f>IF(B80&gt;0,B80,"")</f>
      </c>
      <c r="D88" s="69">
        <f>IF(D80&gt;0,D80,"")</f>
      </c>
      <c r="F88" s="219">
        <f>IF(F80&gt;0,F80,0)</f>
        <v>0</v>
      </c>
      <c r="G88" s="73" t="s">
        <v>386</v>
      </c>
      <c r="H88" s="71">
        <f>IF(H80&gt;0,H80,0)</f>
        <v>0</v>
      </c>
      <c r="I88" s="73" t="s">
        <v>386</v>
      </c>
      <c r="J88" s="71">
        <f>'NonCO2 Emission Factors'!$C$9</f>
        <v>0.010526315789473686</v>
      </c>
      <c r="K88" s="73" t="s">
        <v>386</v>
      </c>
      <c r="L88" s="71">
        <f>'NonCO2 Emission Factors'!$E$8</f>
        <v>0.0014736842105263158</v>
      </c>
      <c r="M88" s="73" t="s">
        <v>387</v>
      </c>
      <c r="N88" s="226">
        <f>IF(F88&gt;0,F88*H88*J88,0)</f>
        <v>0</v>
      </c>
      <c r="O88" s="73" t="s">
        <v>387</v>
      </c>
      <c r="P88" s="227">
        <f>IF(F88&gt;0,F88*H88*L88,0)</f>
        <v>0</v>
      </c>
      <c r="Q88" s="73" t="s">
        <v>387</v>
      </c>
      <c r="R88" s="224">
        <f>(N88*'Table 1. GWPs'!$D$7)/'Conversion Factors'!$D$33</f>
        <v>0</v>
      </c>
      <c r="S88" s="73" t="s">
        <v>387</v>
      </c>
      <c r="T88" s="224">
        <f>(P88*'Table 1. GWPs'!$D$8)/'Conversion Factors'!$D$33</f>
        <v>0</v>
      </c>
      <c r="AR88" s="513"/>
    </row>
    <row r="89" spans="1:44" ht="12.75" hidden="1">
      <c r="A89" s="221" t="s">
        <v>940</v>
      </c>
      <c r="B89" s="69">
        <f>IF(B81&gt;0,B81,"")</f>
      </c>
      <c r="D89" s="69">
        <f>IF(D81&gt;0,D81,"")</f>
      </c>
      <c r="F89" s="219">
        <f>IF(F81&gt;0,F81,0)</f>
        <v>0</v>
      </c>
      <c r="G89" s="73" t="s">
        <v>386</v>
      </c>
      <c r="H89" s="71">
        <f>IF(H81&gt;0,H81,0)</f>
        <v>0</v>
      </c>
      <c r="I89" s="73" t="s">
        <v>386</v>
      </c>
      <c r="J89" s="71">
        <f>'NonCO2 Emission Factors'!$C$9</f>
        <v>0.010526315789473686</v>
      </c>
      <c r="K89" s="73" t="s">
        <v>386</v>
      </c>
      <c r="L89" s="71">
        <f>'NonCO2 Emission Factors'!$E$8</f>
        <v>0.0014736842105263158</v>
      </c>
      <c r="M89" s="73" t="s">
        <v>387</v>
      </c>
      <c r="N89" s="226">
        <f>IF(F89&gt;0,F89*H89*J89,0)</f>
        <v>0</v>
      </c>
      <c r="O89" s="73" t="s">
        <v>387</v>
      </c>
      <c r="P89" s="227">
        <f>IF(F89&gt;0,F89*H89*L89,0)</f>
        <v>0</v>
      </c>
      <c r="Q89" s="73" t="s">
        <v>387</v>
      </c>
      <c r="R89" s="224">
        <f>(N89*'Table 1. GWPs'!$D$7)/'Conversion Factors'!$D$33</f>
        <v>0</v>
      </c>
      <c r="S89" s="73" t="s">
        <v>387</v>
      </c>
      <c r="T89" s="224">
        <f>(P89*'Table 1. GWPs'!$D$8)/'Conversion Factors'!$D$33</f>
        <v>0</v>
      </c>
      <c r="AR89" s="513"/>
    </row>
    <row r="90" spans="1:44" ht="12.75" hidden="1">
      <c r="A90" s="221" t="s">
        <v>941</v>
      </c>
      <c r="B90" s="69">
        <f>IF(B82&gt;0,B82,"")</f>
      </c>
      <c r="D90" s="69">
        <f>IF(D82&gt;0,D82,"")</f>
      </c>
      <c r="F90" s="219">
        <f>IF(F82&gt;0,F82,0)</f>
        <v>0</v>
      </c>
      <c r="G90" s="73" t="s">
        <v>386</v>
      </c>
      <c r="H90" s="71">
        <f>IF(H82&gt;0,H82,0)</f>
        <v>0</v>
      </c>
      <c r="I90" s="73" t="s">
        <v>386</v>
      </c>
      <c r="J90" s="71">
        <f>'NonCO2 Emission Factors'!$C$9</f>
        <v>0.010526315789473686</v>
      </c>
      <c r="K90" s="73" t="s">
        <v>386</v>
      </c>
      <c r="L90" s="71">
        <f>'NonCO2 Emission Factors'!$E$8</f>
        <v>0.0014736842105263158</v>
      </c>
      <c r="M90" s="73" t="s">
        <v>387</v>
      </c>
      <c r="N90" s="226">
        <f>IF(F90&gt;0,F90*H90*J90,0)</f>
        <v>0</v>
      </c>
      <c r="O90" s="73" t="s">
        <v>387</v>
      </c>
      <c r="P90" s="227">
        <f>IF(F90&gt;0,F90*H90*L90,0)</f>
        <v>0</v>
      </c>
      <c r="Q90" s="73" t="s">
        <v>387</v>
      </c>
      <c r="R90" s="224">
        <f>(N90*'Table 1. GWPs'!$D$7)/'Conversion Factors'!$D$33</f>
        <v>0</v>
      </c>
      <c r="S90" s="73" t="s">
        <v>387</v>
      </c>
      <c r="T90" s="224">
        <f>(P90*'Table 1. GWPs'!$D$8)/'Conversion Factors'!$D$33</f>
        <v>0</v>
      </c>
      <c r="AR90" s="513"/>
    </row>
    <row r="91" spans="1:44" ht="12.75" hidden="1">
      <c r="A91" s="221" t="s">
        <v>942</v>
      </c>
      <c r="B91" s="69">
        <f>IF(B83&gt;0,B83,"")</f>
      </c>
      <c r="D91" s="69">
        <f>IF(D83&gt;0,D83,"")</f>
      </c>
      <c r="F91" s="219">
        <f>IF(F83&gt;0,F83,0)</f>
        <v>0</v>
      </c>
      <c r="G91" s="73" t="s">
        <v>386</v>
      </c>
      <c r="H91" s="71">
        <f>IF(H83&gt;0,H83,0)</f>
        <v>0</v>
      </c>
      <c r="I91" s="73" t="s">
        <v>386</v>
      </c>
      <c r="J91" s="71">
        <f>'NonCO2 Emission Factors'!$C$9</f>
        <v>0.010526315789473686</v>
      </c>
      <c r="K91" s="73" t="s">
        <v>386</v>
      </c>
      <c r="L91" s="71">
        <f>'NonCO2 Emission Factors'!$E$8</f>
        <v>0.0014736842105263158</v>
      </c>
      <c r="M91" s="73" t="s">
        <v>387</v>
      </c>
      <c r="N91" s="226">
        <f>IF(F91&gt;0,F91*H91*J91,0)</f>
        <v>0</v>
      </c>
      <c r="O91" s="73" t="s">
        <v>387</v>
      </c>
      <c r="P91" s="227">
        <f>IF(F91&gt;0,F91*H91*L91,0)</f>
        <v>0</v>
      </c>
      <c r="Q91" s="73" t="s">
        <v>387</v>
      </c>
      <c r="R91" s="224">
        <f>(N91*'Table 1. GWPs'!$D$7)/'Conversion Factors'!$D$33</f>
        <v>0</v>
      </c>
      <c r="S91" s="73" t="s">
        <v>387</v>
      </c>
      <c r="T91" s="224">
        <f>(P91*'Table 1. GWPs'!$D$8)/'Conversion Factors'!$D$33</f>
        <v>0</v>
      </c>
      <c r="AR91" s="513"/>
    </row>
    <row r="92" ht="12.75" hidden="1">
      <c r="AR92" s="513"/>
    </row>
    <row r="93" spans="1:44" ht="12.75" hidden="1">
      <c r="A93" s="505" t="s">
        <v>684</v>
      </c>
      <c r="AR93" s="513"/>
    </row>
    <row r="94" spans="2:44" ht="14.25" customHeight="1" hidden="1">
      <c r="B94" s="220" t="s">
        <v>694</v>
      </c>
      <c r="D94" s="214"/>
      <c r="F94" s="648" t="s">
        <v>965</v>
      </c>
      <c r="G94" s="214"/>
      <c r="H94" s="214"/>
      <c r="J94" s="648" t="s">
        <v>689</v>
      </c>
      <c r="L94" s="648" t="s">
        <v>692</v>
      </c>
      <c r="P94" s="648" t="s">
        <v>705</v>
      </c>
      <c r="R94" s="648" t="s">
        <v>693</v>
      </c>
      <c r="AR94" s="513"/>
    </row>
    <row r="95" spans="2:44" ht="12.75" hidden="1">
      <c r="B95" s="73" t="s">
        <v>685</v>
      </c>
      <c r="D95" s="73" t="s">
        <v>681</v>
      </c>
      <c r="F95" s="649"/>
      <c r="H95" s="73" t="s">
        <v>688</v>
      </c>
      <c r="J95" s="649"/>
      <c r="L95" s="649"/>
      <c r="N95" s="67" t="s">
        <v>691</v>
      </c>
      <c r="P95" s="649"/>
      <c r="R95" s="649"/>
      <c r="AR95" s="513"/>
    </row>
    <row r="96" spans="1:44" ht="12.75" hidden="1">
      <c r="A96" s="221" t="s">
        <v>710</v>
      </c>
      <c r="B96" s="275"/>
      <c r="D96" s="275"/>
      <c r="F96" s="276"/>
      <c r="G96" s="73" t="s">
        <v>387</v>
      </c>
      <c r="H96" s="264">
        <f>IF(F96&gt;0,(F96/'Conversion Factors'!$E$16)*VLOOKUP(B96,Densities!$B$24:$F$44,5,FALSE),0)</f>
        <v>0</v>
      </c>
      <c r="I96" s="73" t="s">
        <v>386</v>
      </c>
      <c r="J96" s="215">
        <f>IF(B96&gt;0,(VLOOKUP(B96,PetroleumHV,3,FALSE)/'Conversion Factors'!$D$33),0)</f>
        <v>0</v>
      </c>
      <c r="K96" s="73" t="s">
        <v>386</v>
      </c>
      <c r="L96" s="216">
        <f>IF(B96&gt;0,VLOOKUP(B96,PetroleumCC,3,FALSE),0)</f>
        <v>0</v>
      </c>
      <c r="M96" s="73" t="s">
        <v>386</v>
      </c>
      <c r="N96" s="218">
        <f>IF(D96&gt;0,VLOOKUP(D96,PetroleumOF,3,FALSE),0)</f>
        <v>0</v>
      </c>
      <c r="O96" s="73" t="s">
        <v>387</v>
      </c>
      <c r="P96" s="224">
        <f>H96*J96*L96*N96*44/12</f>
        <v>0</v>
      </c>
      <c r="Q96" s="73" t="s">
        <v>387</v>
      </c>
      <c r="R96" s="224">
        <f>P96/'Conversion Factors'!$D$33</f>
        <v>0</v>
      </c>
      <c r="AR96" s="513"/>
    </row>
    <row r="97" spans="1:44" ht="12.75" hidden="1">
      <c r="A97" s="221" t="s">
        <v>711</v>
      </c>
      <c r="B97" s="275"/>
      <c r="D97" s="275"/>
      <c r="F97" s="276"/>
      <c r="G97" s="73" t="s">
        <v>387</v>
      </c>
      <c r="H97" s="264">
        <f>IF(F97&gt;0,(F97/'Conversion Factors'!$E$16)*VLOOKUP(B97,Densities!$B$24:$F$44,5,FALSE),0)</f>
        <v>0</v>
      </c>
      <c r="I97" s="73" t="s">
        <v>386</v>
      </c>
      <c r="J97" s="215">
        <f>IF(B97&gt;0,(VLOOKUP(B97,PetroleumHV,3,FALSE)/'Conversion Factors'!$D$33),0)</f>
        <v>0</v>
      </c>
      <c r="K97" s="73" t="s">
        <v>386</v>
      </c>
      <c r="L97" s="216">
        <f>IF(B97&gt;0,VLOOKUP(B97,PetroleumCC,3,FALSE),0)</f>
        <v>0</v>
      </c>
      <c r="M97" s="73" t="s">
        <v>386</v>
      </c>
      <c r="N97" s="218">
        <f>IF(D97&gt;0,VLOOKUP(D97,PetroleumOF,3,FALSE),0)</f>
        <v>0</v>
      </c>
      <c r="O97" s="73" t="s">
        <v>387</v>
      </c>
      <c r="P97" s="224">
        <f>H97*J97*L97*N97*44/12</f>
        <v>0</v>
      </c>
      <c r="Q97" s="73" t="s">
        <v>387</v>
      </c>
      <c r="R97" s="224">
        <f>P97/'Conversion Factors'!$D$33</f>
        <v>0</v>
      </c>
      <c r="AR97" s="513"/>
    </row>
    <row r="98" spans="1:44" ht="12.75" hidden="1">
      <c r="A98" s="221" t="s">
        <v>712</v>
      </c>
      <c r="B98" s="275"/>
      <c r="D98" s="275"/>
      <c r="F98" s="276"/>
      <c r="G98" s="73" t="s">
        <v>387</v>
      </c>
      <c r="H98" s="264">
        <f>IF(F98&gt;0,(F98/'Conversion Factors'!$E$16)*VLOOKUP(B98,Densities!$B$24:$F$44,5,FALSE),0)</f>
        <v>0</v>
      </c>
      <c r="I98" s="73" t="s">
        <v>386</v>
      </c>
      <c r="J98" s="215">
        <f>IF(B98&gt;0,(VLOOKUP(B98,PetroleumHV,3,FALSE)/'Conversion Factors'!$D$33),0)</f>
        <v>0</v>
      </c>
      <c r="K98" s="73" t="s">
        <v>386</v>
      </c>
      <c r="L98" s="216">
        <f>IF(B98&gt;0,VLOOKUP(B98,PetroleumCC,3,FALSE),0)</f>
        <v>0</v>
      </c>
      <c r="M98" s="73" t="s">
        <v>386</v>
      </c>
      <c r="N98" s="218">
        <f>IF(D98&gt;0,VLOOKUP(D98,PetroleumOF,3,FALSE),0)</f>
        <v>0</v>
      </c>
      <c r="O98" s="73" t="s">
        <v>387</v>
      </c>
      <c r="P98" s="224">
        <f>H98*J98*L98*N98*44/12</f>
        <v>0</v>
      </c>
      <c r="Q98" s="73" t="s">
        <v>387</v>
      </c>
      <c r="R98" s="224">
        <f>P98/'Conversion Factors'!$D$33</f>
        <v>0</v>
      </c>
      <c r="AR98" s="513"/>
    </row>
    <row r="99" spans="1:44" ht="12.75" hidden="1">
      <c r="A99" s="221" t="s">
        <v>713</v>
      </c>
      <c r="B99" s="275"/>
      <c r="D99" s="275"/>
      <c r="F99" s="276"/>
      <c r="G99" s="73" t="s">
        <v>387</v>
      </c>
      <c r="H99" s="264">
        <f>IF(F99&gt;0,(F99/'Conversion Factors'!$E$16)*VLOOKUP(B99,Densities!$B$24:$F$44,5,FALSE),0)</f>
        <v>0</v>
      </c>
      <c r="I99" s="73" t="s">
        <v>386</v>
      </c>
      <c r="J99" s="215">
        <f>IF(B99&gt;0,(VLOOKUP(B99,PetroleumHV,3,FALSE)/'Conversion Factors'!$D$33),0)</f>
        <v>0</v>
      </c>
      <c r="K99" s="73" t="s">
        <v>386</v>
      </c>
      <c r="L99" s="216">
        <f>IF(B99&gt;0,VLOOKUP(B99,PetroleumCC,3,FALSE),0)</f>
        <v>0</v>
      </c>
      <c r="M99" s="73" t="s">
        <v>386</v>
      </c>
      <c r="N99" s="218">
        <f>IF(D99&gt;0,VLOOKUP(D99,PetroleumOF,3,FALSE),0)</f>
        <v>0</v>
      </c>
      <c r="O99" s="73" t="s">
        <v>387</v>
      </c>
      <c r="P99" s="224">
        <f>H99*J99*L99*N99*44/12</f>
        <v>0</v>
      </c>
      <c r="Q99" s="73" t="s">
        <v>387</v>
      </c>
      <c r="R99" s="224">
        <f>P99/'Conversion Factors'!$D$33</f>
        <v>0</v>
      </c>
      <c r="AR99" s="513"/>
    </row>
    <row r="100" spans="1:44" ht="12.75" hidden="1">
      <c r="A100" s="221" t="s">
        <v>714</v>
      </c>
      <c r="B100" s="275"/>
      <c r="D100" s="275"/>
      <c r="F100" s="276"/>
      <c r="G100" s="73" t="s">
        <v>387</v>
      </c>
      <c r="H100" s="264">
        <f>IF(F100&gt;0,(F100/'Conversion Factors'!$E$16)*VLOOKUP(B100,Densities!$B$24:$F$44,5,FALSE),0)</f>
        <v>0</v>
      </c>
      <c r="I100" s="73" t="s">
        <v>386</v>
      </c>
      <c r="J100" s="215">
        <f>IF(B100&gt;0,(VLOOKUP(B100,PetroleumHV,3,FALSE)/'Conversion Factors'!$D$33),0)</f>
        <v>0</v>
      </c>
      <c r="K100" s="73" t="s">
        <v>386</v>
      </c>
      <c r="L100" s="216">
        <f>IF(B100&gt;0,VLOOKUP(B100,PetroleumCC,3,FALSE),0)</f>
        <v>0</v>
      </c>
      <c r="M100" s="73" t="s">
        <v>386</v>
      </c>
      <c r="N100" s="218">
        <f>IF(D100&gt;0,VLOOKUP(D100,PetroleumOF,3,FALSE),0)</f>
        <v>0</v>
      </c>
      <c r="O100" s="73" t="s">
        <v>387</v>
      </c>
      <c r="P100" s="224">
        <f>H100*J100*L100*N100*44/12</f>
        <v>0</v>
      </c>
      <c r="Q100" s="73" t="s">
        <v>387</v>
      </c>
      <c r="R100" s="224">
        <f>P100/'Conversion Factors'!$D$33</f>
        <v>0</v>
      </c>
      <c r="AR100" s="513"/>
    </row>
    <row r="101" spans="18:44" ht="12.75" hidden="1">
      <c r="R101" s="508"/>
      <c r="AR101" s="513"/>
    </row>
    <row r="102" spans="2:44" ht="14.25" hidden="1">
      <c r="B102" s="220" t="s">
        <v>695</v>
      </c>
      <c r="H102" s="648" t="s">
        <v>689</v>
      </c>
      <c r="J102" s="648" t="s">
        <v>701</v>
      </c>
      <c r="K102" s="207" t="s">
        <v>708</v>
      </c>
      <c r="L102" s="648" t="s">
        <v>702</v>
      </c>
      <c r="N102" s="648" t="s">
        <v>703</v>
      </c>
      <c r="O102" s="207" t="s">
        <v>708</v>
      </c>
      <c r="P102" s="648" t="s">
        <v>704</v>
      </c>
      <c r="R102" s="648" t="s">
        <v>706</v>
      </c>
      <c r="S102" s="207" t="s">
        <v>708</v>
      </c>
      <c r="T102" s="648" t="s">
        <v>707</v>
      </c>
      <c r="AR102" s="513"/>
    </row>
    <row r="103" spans="2:44" ht="12.75" hidden="1">
      <c r="B103" s="73" t="s">
        <v>685</v>
      </c>
      <c r="D103" s="73" t="s">
        <v>681</v>
      </c>
      <c r="F103" s="73" t="s">
        <v>688</v>
      </c>
      <c r="H103" s="649"/>
      <c r="J103" s="649"/>
      <c r="K103" s="67"/>
      <c r="L103" s="649"/>
      <c r="N103" s="649"/>
      <c r="O103" s="67"/>
      <c r="P103" s="649"/>
      <c r="R103" s="649"/>
      <c r="S103" s="67"/>
      <c r="T103" s="649"/>
      <c r="AR103" s="513"/>
    </row>
    <row r="104" spans="1:44" ht="12.75" hidden="1">
      <c r="A104" s="221" t="s">
        <v>943</v>
      </c>
      <c r="B104" s="69">
        <f>IF(B96&gt;0,B96,"")</f>
      </c>
      <c r="D104" s="69">
        <f>IF(D96&gt;0,D96,"")</f>
      </c>
      <c r="F104" s="219">
        <f>IF(H96&gt;0,H96,0)</f>
        <v>0</v>
      </c>
      <c r="G104" s="73" t="s">
        <v>386</v>
      </c>
      <c r="H104" s="71">
        <f>IF(J96&gt;0,J96,0)</f>
        <v>0</v>
      </c>
      <c r="I104" s="73" t="s">
        <v>386</v>
      </c>
      <c r="J104" s="71">
        <f>'NonCO2 Emission Factors'!$C$9</f>
        <v>0.010526315789473686</v>
      </c>
      <c r="K104" s="73" t="s">
        <v>386</v>
      </c>
      <c r="L104" s="71">
        <f>'NonCO2 Emission Factors'!$E$8</f>
        <v>0.0014736842105263158</v>
      </c>
      <c r="M104" s="73" t="s">
        <v>387</v>
      </c>
      <c r="N104" s="226">
        <f>IF(F104&gt;0,F104*H104*J104,0)</f>
        <v>0</v>
      </c>
      <c r="O104" s="73" t="s">
        <v>387</v>
      </c>
      <c r="P104" s="227">
        <f>IF(F104&gt;0,F104*H104*L104,0)</f>
        <v>0</v>
      </c>
      <c r="Q104" s="73" t="s">
        <v>387</v>
      </c>
      <c r="R104" s="224">
        <f>(N104*'Table 1. GWPs'!$D$7)/'Conversion Factors'!$D$33</f>
        <v>0</v>
      </c>
      <c r="S104" s="73" t="s">
        <v>387</v>
      </c>
      <c r="T104" s="224">
        <f>(P104*'Table 1. GWPs'!$D$8)/'Conversion Factors'!$D$33</f>
        <v>0</v>
      </c>
      <c r="AR104" s="513"/>
    </row>
    <row r="105" spans="1:44" ht="12.75" hidden="1">
      <c r="A105" s="221" t="s">
        <v>944</v>
      </c>
      <c r="B105" s="69">
        <f>IF(B97&gt;0,B97,"")</f>
      </c>
      <c r="D105" s="69">
        <f>IF(D97&gt;0,D97,"")</f>
      </c>
      <c r="F105" s="219">
        <f>IF(H97&gt;0,H97,0)</f>
        <v>0</v>
      </c>
      <c r="G105" s="73" t="s">
        <v>386</v>
      </c>
      <c r="H105" s="71">
        <f>IF(J97&gt;0,J97,0)</f>
        <v>0</v>
      </c>
      <c r="I105" s="73" t="s">
        <v>386</v>
      </c>
      <c r="J105" s="71">
        <f>'NonCO2 Emission Factors'!$C$9</f>
        <v>0.010526315789473686</v>
      </c>
      <c r="K105" s="73" t="s">
        <v>386</v>
      </c>
      <c r="L105" s="71">
        <f>'NonCO2 Emission Factors'!$E$8</f>
        <v>0.0014736842105263158</v>
      </c>
      <c r="M105" s="73" t="s">
        <v>387</v>
      </c>
      <c r="N105" s="226">
        <f>IF(F105&gt;0,F105*H105*J105,0)</f>
        <v>0</v>
      </c>
      <c r="O105" s="73" t="s">
        <v>387</v>
      </c>
      <c r="P105" s="227">
        <f>IF(F105&gt;0,F105*H105*L105,0)</f>
        <v>0</v>
      </c>
      <c r="Q105" s="73" t="s">
        <v>387</v>
      </c>
      <c r="R105" s="224">
        <f>(N105*'Table 1. GWPs'!$D$7)/'Conversion Factors'!$D$33</f>
        <v>0</v>
      </c>
      <c r="S105" s="73" t="s">
        <v>387</v>
      </c>
      <c r="T105" s="224">
        <f>(P105*'Table 1. GWPs'!$D$8)/'Conversion Factors'!$D$33</f>
        <v>0</v>
      </c>
      <c r="AR105" s="513"/>
    </row>
    <row r="106" spans="1:44" ht="12.75" hidden="1">
      <c r="A106" s="221" t="s">
        <v>945</v>
      </c>
      <c r="B106" s="69">
        <f>IF(B98&gt;0,B98,"")</f>
      </c>
      <c r="D106" s="69">
        <f>IF(D98&gt;0,D98,"")</f>
      </c>
      <c r="F106" s="219">
        <f>IF(H98&gt;0,H98,0)</f>
        <v>0</v>
      </c>
      <c r="G106" s="73" t="s">
        <v>386</v>
      </c>
      <c r="H106" s="71">
        <f>IF(J98&gt;0,J98,0)</f>
        <v>0</v>
      </c>
      <c r="I106" s="73" t="s">
        <v>386</v>
      </c>
      <c r="J106" s="71">
        <f>'NonCO2 Emission Factors'!$C$9</f>
        <v>0.010526315789473686</v>
      </c>
      <c r="K106" s="73" t="s">
        <v>386</v>
      </c>
      <c r="L106" s="71">
        <f>'NonCO2 Emission Factors'!$E$8</f>
        <v>0.0014736842105263158</v>
      </c>
      <c r="M106" s="73" t="s">
        <v>387</v>
      </c>
      <c r="N106" s="226">
        <f>IF(F106&gt;0,F106*H106*J106,0)</f>
        <v>0</v>
      </c>
      <c r="O106" s="73" t="s">
        <v>387</v>
      </c>
      <c r="P106" s="227">
        <f>IF(F106&gt;0,F106*H106*L106,0)</f>
        <v>0</v>
      </c>
      <c r="Q106" s="73" t="s">
        <v>387</v>
      </c>
      <c r="R106" s="224">
        <f>(N106*'Table 1. GWPs'!$D$7)/'Conversion Factors'!$D$33</f>
        <v>0</v>
      </c>
      <c r="S106" s="73" t="s">
        <v>387</v>
      </c>
      <c r="T106" s="224">
        <f>(P106*'Table 1. GWPs'!$D$8)/'Conversion Factors'!$D$33</f>
        <v>0</v>
      </c>
      <c r="AR106" s="513"/>
    </row>
    <row r="107" spans="1:44" ht="12.75" hidden="1">
      <c r="A107" s="221" t="s">
        <v>946</v>
      </c>
      <c r="B107" s="69">
        <f>IF(B99&gt;0,B99,"")</f>
      </c>
      <c r="D107" s="69">
        <f>IF(D99&gt;0,D99,"")</f>
      </c>
      <c r="F107" s="219">
        <f>IF(H99&gt;0,H99,0)</f>
        <v>0</v>
      </c>
      <c r="G107" s="73" t="s">
        <v>386</v>
      </c>
      <c r="H107" s="71">
        <f>IF(J99&gt;0,J99,0)</f>
        <v>0</v>
      </c>
      <c r="I107" s="73" t="s">
        <v>386</v>
      </c>
      <c r="J107" s="71">
        <f>'NonCO2 Emission Factors'!$C$9</f>
        <v>0.010526315789473686</v>
      </c>
      <c r="K107" s="73" t="s">
        <v>386</v>
      </c>
      <c r="L107" s="71">
        <f>'NonCO2 Emission Factors'!$E$8</f>
        <v>0.0014736842105263158</v>
      </c>
      <c r="M107" s="73" t="s">
        <v>387</v>
      </c>
      <c r="N107" s="226">
        <f>IF(F107&gt;0,F107*H107*J107,0)</f>
        <v>0</v>
      </c>
      <c r="O107" s="73" t="s">
        <v>387</v>
      </c>
      <c r="P107" s="227">
        <f>IF(F107&gt;0,F107*H107*L107,0)</f>
        <v>0</v>
      </c>
      <c r="Q107" s="73" t="s">
        <v>387</v>
      </c>
      <c r="R107" s="224">
        <f>(N107*'Table 1. GWPs'!$D$7)/'Conversion Factors'!$D$33</f>
        <v>0</v>
      </c>
      <c r="S107" s="73" t="s">
        <v>387</v>
      </c>
      <c r="T107" s="224">
        <f>(P107*'Table 1. GWPs'!$D$8)/'Conversion Factors'!$D$33</f>
        <v>0</v>
      </c>
      <c r="AR107" s="513"/>
    </row>
    <row r="108" spans="1:44" ht="12.75" hidden="1">
      <c r="A108" s="221" t="s">
        <v>947</v>
      </c>
      <c r="B108" s="69">
        <f>IF(B100&gt;0,B100,"")</f>
      </c>
      <c r="D108" s="69">
        <f>IF(D100&gt;0,D100,"")</f>
      </c>
      <c r="F108" s="219">
        <f>IF(H100&gt;0,H100,0)</f>
        <v>0</v>
      </c>
      <c r="G108" s="73" t="s">
        <v>386</v>
      </c>
      <c r="H108" s="71">
        <f>IF(J100&gt;0,J100,0)</f>
        <v>0</v>
      </c>
      <c r="I108" s="73" t="s">
        <v>386</v>
      </c>
      <c r="J108" s="71">
        <f>'NonCO2 Emission Factors'!$C$9</f>
        <v>0.010526315789473686</v>
      </c>
      <c r="K108" s="73" t="s">
        <v>386</v>
      </c>
      <c r="L108" s="71">
        <f>'NonCO2 Emission Factors'!$E$8</f>
        <v>0.0014736842105263158</v>
      </c>
      <c r="M108" s="73" t="s">
        <v>387</v>
      </c>
      <c r="N108" s="226">
        <f>IF(F108&gt;0,F108*H108*J108,0)</f>
        <v>0</v>
      </c>
      <c r="O108" s="73" t="s">
        <v>387</v>
      </c>
      <c r="P108" s="227">
        <f>IF(F108&gt;0,F108*H108*L108,0)</f>
        <v>0</v>
      </c>
      <c r="Q108" s="73" t="s">
        <v>387</v>
      </c>
      <c r="R108" s="224">
        <f>(N108*'Table 1. GWPs'!$D$7)/'Conversion Factors'!$D$33</f>
        <v>0</v>
      </c>
      <c r="S108" s="73" t="s">
        <v>387</v>
      </c>
      <c r="T108" s="224">
        <f>(P108*'Table 1. GWPs'!$D$8)/'Conversion Factors'!$D$33</f>
        <v>0</v>
      </c>
      <c r="AR108" s="513"/>
    </row>
    <row r="109" ht="12.75" hidden="1">
      <c r="AR109" s="513"/>
    </row>
    <row r="110" spans="1:44" ht="12.75" hidden="1">
      <c r="A110" s="505" t="s">
        <v>363</v>
      </c>
      <c r="AR110" s="513"/>
    </row>
    <row r="111" spans="2:44" ht="14.25" hidden="1">
      <c r="B111" s="220" t="s">
        <v>694</v>
      </c>
      <c r="C111" s="214"/>
      <c r="D111" s="214"/>
      <c r="F111" s="648" t="s">
        <v>967</v>
      </c>
      <c r="G111" s="214"/>
      <c r="H111" s="214"/>
      <c r="J111" s="648" t="s">
        <v>689</v>
      </c>
      <c r="L111" s="648" t="s">
        <v>692</v>
      </c>
      <c r="P111" s="648" t="s">
        <v>705</v>
      </c>
      <c r="R111" s="648" t="s">
        <v>693</v>
      </c>
      <c r="AR111" s="513"/>
    </row>
    <row r="112" spans="2:44" ht="12.75" hidden="1">
      <c r="B112" s="73" t="s">
        <v>682</v>
      </c>
      <c r="E112" s="211"/>
      <c r="F112" s="649"/>
      <c r="H112" s="73" t="s">
        <v>688</v>
      </c>
      <c r="J112" s="649"/>
      <c r="L112" s="649"/>
      <c r="N112" s="67" t="s">
        <v>691</v>
      </c>
      <c r="P112" s="649"/>
      <c r="R112" s="649"/>
      <c r="AR112" s="513"/>
    </row>
    <row r="113" spans="1:44" ht="12.75" hidden="1">
      <c r="A113" s="221" t="s">
        <v>715</v>
      </c>
      <c r="B113" s="275"/>
      <c r="C113" s="511">
        <f>IF(B113=$AC$10,"For LNG, please enter fuel consumed in liters, not cubic feet.","")</f>
      </c>
      <c r="E113" s="210"/>
      <c r="F113" s="276"/>
      <c r="G113" s="66" t="s">
        <v>17</v>
      </c>
      <c r="H113" s="264">
        <f>IF(F113&gt;0,IF(B113=$AC$10,F113*VLOOKUP(B113,Densities!$B$14:$F$22,5,FALSE),(F113*'Conversion Factors'!$E$13)*VLOOKUP(B113,Densities!B$14:$D$21,3,FALSE)),0)</f>
        <v>0</v>
      </c>
      <c r="I113" s="73" t="s">
        <v>386</v>
      </c>
      <c r="J113" s="215">
        <f>IF(B113&gt;0,(VLOOKUP(B113,NaturalGasHV,3,FALSE)/'Conversion Factors'!$D$33),0)</f>
        <v>0</v>
      </c>
      <c r="K113" s="73" t="s">
        <v>386</v>
      </c>
      <c r="L113" s="216">
        <f>IF(B113&gt;0,VLOOKUP(B113,NaturalGasCC,3,FALSE),0)</f>
        <v>0</v>
      </c>
      <c r="M113" s="73" t="s">
        <v>386</v>
      </c>
      <c r="N113" s="218">
        <f>IF(B113&gt;0,'Oxidation Factors'!$D$10,0)</f>
        <v>0</v>
      </c>
      <c r="O113" s="73" t="s">
        <v>387</v>
      </c>
      <c r="P113" s="224">
        <f>H113*J113*L113*N113*44/12</f>
        <v>0</v>
      </c>
      <c r="Q113" s="73" t="s">
        <v>387</v>
      </c>
      <c r="R113" s="224">
        <f>P113/'Conversion Factors'!$D$33</f>
        <v>0</v>
      </c>
      <c r="AR113" s="513"/>
    </row>
    <row r="114" spans="1:44" ht="12.75" hidden="1">
      <c r="A114" s="221" t="s">
        <v>716</v>
      </c>
      <c r="B114" s="275"/>
      <c r="C114" s="511">
        <f>IF(B114=$AC$10,"For LNG, please enter fuel consumed in liters, not cubic feet.","")</f>
      </c>
      <c r="E114" s="210"/>
      <c r="F114" s="276"/>
      <c r="G114" s="66" t="s">
        <v>15</v>
      </c>
      <c r="H114" s="578">
        <f>F114*4.84/2.2</f>
        <v>0</v>
      </c>
      <c r="I114" s="73" t="s">
        <v>386</v>
      </c>
      <c r="J114" s="215">
        <f>IF(B114&gt;0,(VLOOKUP(B114,NaturalGasHV,3,FALSE)/'Conversion Factors'!$D$33),0)</f>
        <v>0</v>
      </c>
      <c r="K114" s="73" t="s">
        <v>386</v>
      </c>
      <c r="L114" s="216">
        <f>IF(B114&gt;0,VLOOKUP(B114,NaturalGasCC,3,FALSE),0)</f>
        <v>0</v>
      </c>
      <c r="M114" s="73" t="s">
        <v>386</v>
      </c>
      <c r="N114" s="218">
        <f>IF(B114&gt;0,'Oxidation Factors'!$D$10,0)</f>
        <v>0</v>
      </c>
      <c r="O114" s="73" t="s">
        <v>387</v>
      </c>
      <c r="P114" s="224">
        <f>H114*J114*L114*N114*44/12</f>
        <v>0</v>
      </c>
      <c r="Q114" s="73" t="s">
        <v>387</v>
      </c>
      <c r="R114" s="224">
        <f>P114/'Conversion Factors'!$D$33</f>
        <v>0</v>
      </c>
      <c r="AR114" s="513"/>
    </row>
    <row r="115" spans="1:44" ht="12.75" hidden="1">
      <c r="A115" s="221" t="s">
        <v>717</v>
      </c>
      <c r="B115" s="275"/>
      <c r="C115" s="511">
        <f>IF(B115=$AC$10,"For LNG, please enter fuel consumed in liters, not cubic feet.","")</f>
      </c>
      <c r="E115" s="210"/>
      <c r="F115" s="276"/>
      <c r="H115" s="264">
        <f>IF(F115&gt;0,IF(B115=$AC$10,F115*VLOOKUP(B115,Densities!$B$14:$F$22,5,FALSE),(F115*'Conversion Factors'!$E$13)*VLOOKUP(B115,Densities!B$14:$D$21,3,FALSE)),0)</f>
        <v>0</v>
      </c>
      <c r="I115" s="73" t="s">
        <v>386</v>
      </c>
      <c r="J115" s="215">
        <f>IF(B115&gt;0,(VLOOKUP(B115,NaturalGasHV,3,FALSE)/'Conversion Factors'!$D$33),0)</f>
        <v>0</v>
      </c>
      <c r="K115" s="73" t="s">
        <v>386</v>
      </c>
      <c r="L115" s="216">
        <f>IF(B115&gt;0,VLOOKUP(B115,NaturalGasCC,3,FALSE),0)</f>
        <v>0</v>
      </c>
      <c r="M115" s="73" t="s">
        <v>386</v>
      </c>
      <c r="N115" s="218">
        <f>IF(B115&gt;0,'Oxidation Factors'!$D$10,0)</f>
        <v>0</v>
      </c>
      <c r="O115" s="73" t="s">
        <v>387</v>
      </c>
      <c r="P115" s="224">
        <f>H115*J115*L115*N115*44/12</f>
        <v>0</v>
      </c>
      <c r="Q115" s="73" t="s">
        <v>387</v>
      </c>
      <c r="R115" s="224">
        <f>P115/'Conversion Factors'!$D$33</f>
        <v>0</v>
      </c>
      <c r="AR115" s="513"/>
    </row>
    <row r="116" spans="1:44" ht="12.75" hidden="1">
      <c r="A116" s="221" t="s">
        <v>718</v>
      </c>
      <c r="B116" s="275"/>
      <c r="C116" s="511">
        <f>IF(B116=$AC$10,"For LNG, please enter fuel consumed in liters, not cubic feet.","")</f>
      </c>
      <c r="E116" s="210"/>
      <c r="F116" s="276"/>
      <c r="H116" s="264">
        <f>IF(F116&gt;0,IF(B116=$AC$10,F116*VLOOKUP(B116,Densities!$B$14:$F$22,5,FALSE),(F116*'Conversion Factors'!$E$13)*VLOOKUP(B116,Densities!B$14:$D$21,3,FALSE)),0)</f>
        <v>0</v>
      </c>
      <c r="I116" s="73" t="s">
        <v>386</v>
      </c>
      <c r="J116" s="215">
        <f>IF(B116&gt;0,(VLOOKUP(B116,NaturalGasHV,3,FALSE)/'Conversion Factors'!$D$33),0)</f>
        <v>0</v>
      </c>
      <c r="K116" s="73" t="s">
        <v>386</v>
      </c>
      <c r="L116" s="216">
        <f>IF(B116&gt;0,VLOOKUP(B116,NaturalGasCC,3,FALSE),0)</f>
        <v>0</v>
      </c>
      <c r="M116" s="73" t="s">
        <v>386</v>
      </c>
      <c r="N116" s="218">
        <f>IF(B116&gt;0,'Oxidation Factors'!$D$10,0)</f>
        <v>0</v>
      </c>
      <c r="O116" s="73" t="s">
        <v>387</v>
      </c>
      <c r="P116" s="224">
        <f>H116*J116*L116*N116*44/12</f>
        <v>0</v>
      </c>
      <c r="Q116" s="73" t="s">
        <v>387</v>
      </c>
      <c r="R116" s="224">
        <f>P116/'Conversion Factors'!$D$33</f>
        <v>0</v>
      </c>
      <c r="AR116" s="513"/>
    </row>
    <row r="117" spans="1:44" ht="12.75" hidden="1">
      <c r="A117" s="221" t="s">
        <v>719</v>
      </c>
      <c r="B117" s="275"/>
      <c r="C117" s="511">
        <f>IF(B117=$AC$10,"For LNG, please enter fuel consumed in liters, not cubic feet.","")</f>
      </c>
      <c r="E117" s="210"/>
      <c r="F117" s="276"/>
      <c r="H117" s="264">
        <f>IF(F117&gt;0,IF(B117=$AC$10,F117*VLOOKUP(B117,Densities!$B$14:$F$22,5,FALSE),(F117*'Conversion Factors'!$E$13)*VLOOKUP(B117,Densities!B$14:$D$21,3,FALSE)),0)</f>
        <v>0</v>
      </c>
      <c r="I117" s="73" t="s">
        <v>386</v>
      </c>
      <c r="J117" s="215">
        <f>IF(B117&gt;0,(VLOOKUP(B117,NaturalGasHV,3,FALSE)/'Conversion Factors'!$D$33),0)</f>
        <v>0</v>
      </c>
      <c r="K117" s="73" t="s">
        <v>386</v>
      </c>
      <c r="L117" s="216">
        <f>IF(B117&gt;0,VLOOKUP(B117,NaturalGasCC,3,FALSE),0)</f>
        <v>0</v>
      </c>
      <c r="M117" s="73" t="s">
        <v>386</v>
      </c>
      <c r="N117" s="218">
        <f>IF(B117&gt;0,'Oxidation Factors'!$D$10,0)</f>
        <v>0</v>
      </c>
      <c r="O117" s="73" t="s">
        <v>387</v>
      </c>
      <c r="P117" s="224">
        <f>H117*J117*L117*N117*44/12</f>
        <v>0</v>
      </c>
      <c r="Q117" s="73" t="s">
        <v>387</v>
      </c>
      <c r="R117" s="224">
        <f>P117/'Conversion Factors'!$D$33</f>
        <v>0</v>
      </c>
      <c r="AR117" s="513"/>
    </row>
    <row r="118" ht="12.75" hidden="1">
      <c r="AR118" s="513"/>
    </row>
    <row r="119" spans="2:44" ht="14.25" hidden="1">
      <c r="B119" s="220" t="s">
        <v>695</v>
      </c>
      <c r="H119" s="648" t="s">
        <v>689</v>
      </c>
      <c r="J119" s="648" t="s">
        <v>701</v>
      </c>
      <c r="K119" s="207" t="s">
        <v>708</v>
      </c>
      <c r="L119" s="648" t="s">
        <v>702</v>
      </c>
      <c r="N119" s="648" t="s">
        <v>703</v>
      </c>
      <c r="O119" s="207" t="s">
        <v>708</v>
      </c>
      <c r="P119" s="648" t="s">
        <v>704</v>
      </c>
      <c r="R119" s="648" t="s">
        <v>706</v>
      </c>
      <c r="S119" s="207" t="s">
        <v>708</v>
      </c>
      <c r="T119" s="648" t="s">
        <v>707</v>
      </c>
      <c r="AR119" s="513"/>
    </row>
    <row r="120" spans="2:44" ht="12.75" hidden="1">
      <c r="B120" s="73" t="s">
        <v>682</v>
      </c>
      <c r="D120" s="223"/>
      <c r="F120" s="73" t="s">
        <v>688</v>
      </c>
      <c r="H120" s="649"/>
      <c r="J120" s="649"/>
      <c r="K120" s="67"/>
      <c r="L120" s="649"/>
      <c r="N120" s="649"/>
      <c r="O120" s="67"/>
      <c r="P120" s="649"/>
      <c r="R120" s="649"/>
      <c r="S120" s="67"/>
      <c r="T120" s="649"/>
      <c r="AR120" s="513"/>
    </row>
    <row r="121" spans="1:44" ht="12.75" hidden="1">
      <c r="A121" s="221" t="s">
        <v>948</v>
      </c>
      <c r="B121" s="69">
        <f>IF(B113&gt;0,B113,"")</f>
      </c>
      <c r="D121" s="222"/>
      <c r="F121" s="219">
        <f>IF(H113&gt;0,H113,0)</f>
        <v>0</v>
      </c>
      <c r="G121" s="73" t="s">
        <v>386</v>
      </c>
      <c r="H121" s="71">
        <f>IF(J113&gt;0,J113,0)</f>
        <v>0</v>
      </c>
      <c r="I121" s="73" t="s">
        <v>386</v>
      </c>
      <c r="J121" s="71">
        <f>'NonCO2 Emission Factors'!$C$9</f>
        <v>0.010526315789473686</v>
      </c>
      <c r="K121" s="73" t="s">
        <v>386</v>
      </c>
      <c r="L121" s="71">
        <f>'NonCO2 Emission Factors'!$E$8</f>
        <v>0.0014736842105263158</v>
      </c>
      <c r="M121" s="73" t="s">
        <v>387</v>
      </c>
      <c r="N121" s="226">
        <f>IF(F121&gt;0,F121*H121*J121,0)</f>
        <v>0</v>
      </c>
      <c r="O121" s="73" t="s">
        <v>387</v>
      </c>
      <c r="P121" s="227">
        <f>IF(F121&gt;0,F121*H121*L121,0)</f>
        <v>0</v>
      </c>
      <c r="Q121" s="73" t="s">
        <v>387</v>
      </c>
      <c r="R121" s="224">
        <f>(N121*'Table 1. GWPs'!$D$7)/'Conversion Factors'!$D$33</f>
        <v>0</v>
      </c>
      <c r="S121" s="73" t="s">
        <v>387</v>
      </c>
      <c r="T121" s="224">
        <f>(P121*'Table 1. GWPs'!$D$8)/'Conversion Factors'!$D$33</f>
        <v>0</v>
      </c>
      <c r="AR121" s="513"/>
    </row>
    <row r="122" spans="1:44" ht="12.75" hidden="1">
      <c r="A122" s="221" t="s">
        <v>949</v>
      </c>
      <c r="B122" s="69">
        <f>IF(B114&gt;0,B114,"")</f>
      </c>
      <c r="D122" s="222"/>
      <c r="F122" s="219">
        <f>IF(H114&gt;0,H114,0)</f>
        <v>0</v>
      </c>
      <c r="G122" s="73" t="s">
        <v>386</v>
      </c>
      <c r="H122" s="71">
        <f>IF(J114&gt;0,J114,0)</f>
        <v>0</v>
      </c>
      <c r="I122" s="73" t="s">
        <v>386</v>
      </c>
      <c r="J122" s="71">
        <f>'NonCO2 Emission Factors'!$C$9</f>
        <v>0.010526315789473686</v>
      </c>
      <c r="K122" s="73" t="s">
        <v>386</v>
      </c>
      <c r="L122" s="71">
        <f>'NonCO2 Emission Factors'!$E$8</f>
        <v>0.0014736842105263158</v>
      </c>
      <c r="M122" s="73" t="s">
        <v>387</v>
      </c>
      <c r="N122" s="226">
        <f>IF(F122&gt;0,F122*H122*J122,0)</f>
        <v>0</v>
      </c>
      <c r="O122" s="73" t="s">
        <v>387</v>
      </c>
      <c r="P122" s="227">
        <f>IF(F122&gt;0,F122*H122*L122,0)</f>
        <v>0</v>
      </c>
      <c r="Q122" s="73" t="s">
        <v>387</v>
      </c>
      <c r="R122" s="224">
        <f>(N122*'Table 1. GWPs'!$D$7)/'Conversion Factors'!$D$33</f>
        <v>0</v>
      </c>
      <c r="S122" s="73" t="s">
        <v>387</v>
      </c>
      <c r="T122" s="224">
        <f>(P122*'Table 1. GWPs'!$D$8)/'Conversion Factors'!$D$33</f>
        <v>0</v>
      </c>
      <c r="AR122" s="513"/>
    </row>
    <row r="123" spans="1:44" ht="12.75" hidden="1">
      <c r="A123" s="221" t="s">
        <v>950</v>
      </c>
      <c r="B123" s="69">
        <f>IF(B115&gt;0,B115,"")</f>
      </c>
      <c r="D123" s="222"/>
      <c r="F123" s="219">
        <f>IF(H115&gt;0,H115,0)</f>
        <v>0</v>
      </c>
      <c r="G123" s="73" t="s">
        <v>386</v>
      </c>
      <c r="H123" s="71">
        <f>IF(J115&gt;0,J115,0)</f>
        <v>0</v>
      </c>
      <c r="I123" s="73" t="s">
        <v>386</v>
      </c>
      <c r="J123" s="71">
        <f>'NonCO2 Emission Factors'!$C$9</f>
        <v>0.010526315789473686</v>
      </c>
      <c r="K123" s="73" t="s">
        <v>386</v>
      </c>
      <c r="L123" s="71">
        <f>'NonCO2 Emission Factors'!$E$8</f>
        <v>0.0014736842105263158</v>
      </c>
      <c r="M123" s="73" t="s">
        <v>387</v>
      </c>
      <c r="N123" s="226">
        <f>IF(F123&gt;0,F123*H123*J123,0)</f>
        <v>0</v>
      </c>
      <c r="O123" s="73" t="s">
        <v>387</v>
      </c>
      <c r="P123" s="227">
        <f>IF(F123&gt;0,F123*H123*L123,0)</f>
        <v>0</v>
      </c>
      <c r="Q123" s="73" t="s">
        <v>387</v>
      </c>
      <c r="R123" s="224">
        <f>(N123*'Table 1. GWPs'!$D$7)/'Conversion Factors'!$D$33</f>
        <v>0</v>
      </c>
      <c r="S123" s="73" t="s">
        <v>387</v>
      </c>
      <c r="T123" s="224">
        <f>(P123*'Table 1. GWPs'!$D$8)/'Conversion Factors'!$D$33</f>
        <v>0</v>
      </c>
      <c r="AR123" s="513"/>
    </row>
    <row r="124" spans="1:44" ht="12.75" hidden="1">
      <c r="A124" s="221" t="s">
        <v>951</v>
      </c>
      <c r="B124" s="69">
        <f>IF(B116&gt;0,B116,"")</f>
      </c>
      <c r="D124" s="222"/>
      <c r="F124" s="219">
        <f>IF(H116&gt;0,H116,0)</f>
        <v>0</v>
      </c>
      <c r="G124" s="73" t="s">
        <v>386</v>
      </c>
      <c r="H124" s="71">
        <f>IF(J116&gt;0,J116,0)</f>
        <v>0</v>
      </c>
      <c r="I124" s="73" t="s">
        <v>386</v>
      </c>
      <c r="J124" s="71">
        <f>'NonCO2 Emission Factors'!$C$9</f>
        <v>0.010526315789473686</v>
      </c>
      <c r="K124" s="73" t="s">
        <v>386</v>
      </c>
      <c r="L124" s="71">
        <f>'NonCO2 Emission Factors'!$E$8</f>
        <v>0.0014736842105263158</v>
      </c>
      <c r="M124" s="73" t="s">
        <v>387</v>
      </c>
      <c r="N124" s="226">
        <f>IF(F124&gt;0,F124*H124*J124,0)</f>
        <v>0</v>
      </c>
      <c r="O124" s="73" t="s">
        <v>387</v>
      </c>
      <c r="P124" s="227">
        <f>IF(F124&gt;0,F124*H124*L124,0)</f>
        <v>0</v>
      </c>
      <c r="Q124" s="73" t="s">
        <v>387</v>
      </c>
      <c r="R124" s="224">
        <f>(N124*'Table 1. GWPs'!$D$7)/'Conversion Factors'!$D$33</f>
        <v>0</v>
      </c>
      <c r="S124" s="73" t="s">
        <v>387</v>
      </c>
      <c r="T124" s="224">
        <f>(P124*'Table 1. GWPs'!$D$8)/'Conversion Factors'!$D$33</f>
        <v>0</v>
      </c>
      <c r="AR124" s="513"/>
    </row>
    <row r="125" spans="1:44" ht="12.75" hidden="1">
      <c r="A125" s="221" t="s">
        <v>952</v>
      </c>
      <c r="B125" s="69">
        <f>IF(B117&gt;0,B117,"")</f>
      </c>
      <c r="D125" s="222"/>
      <c r="F125" s="219">
        <f>IF(H117&gt;0,H117,0)</f>
        <v>0</v>
      </c>
      <c r="G125" s="73" t="s">
        <v>386</v>
      </c>
      <c r="H125" s="71">
        <f>IF(J117&gt;0,J117,0)</f>
        <v>0</v>
      </c>
      <c r="I125" s="73" t="s">
        <v>386</v>
      </c>
      <c r="J125" s="71">
        <f>'NonCO2 Emission Factors'!$C$9</f>
        <v>0.010526315789473686</v>
      </c>
      <c r="K125" s="73" t="s">
        <v>386</v>
      </c>
      <c r="L125" s="71">
        <f>'NonCO2 Emission Factors'!$E$8</f>
        <v>0.0014736842105263158</v>
      </c>
      <c r="M125" s="73" t="s">
        <v>387</v>
      </c>
      <c r="N125" s="226">
        <f>IF(F125&gt;0,F125*H125*J125,0)</f>
        <v>0</v>
      </c>
      <c r="O125" s="73" t="s">
        <v>387</v>
      </c>
      <c r="P125" s="227">
        <f>IF(F125&gt;0,F125*H125*L125,0)</f>
        <v>0</v>
      </c>
      <c r="Q125" s="73" t="s">
        <v>387</v>
      </c>
      <c r="R125" s="224">
        <f>(N125*'Table 1. GWPs'!$D$7)/'Conversion Factors'!$D$33</f>
        <v>0</v>
      </c>
      <c r="S125" s="73" t="s">
        <v>387</v>
      </c>
      <c r="T125" s="224">
        <f>(P125*'Table 1. GWPs'!$D$8)/'Conversion Factors'!$D$33</f>
        <v>0</v>
      </c>
      <c r="AR125" s="513"/>
    </row>
    <row r="126" ht="12.75" hidden="1">
      <c r="AR126" s="513"/>
    </row>
    <row r="127" spans="1:44" ht="12.75" hidden="1">
      <c r="A127" s="505" t="s">
        <v>479</v>
      </c>
      <c r="AR127" s="513"/>
    </row>
    <row r="128" spans="2:44" ht="14.25" hidden="1">
      <c r="B128" s="220" t="s">
        <v>694</v>
      </c>
      <c r="C128" s="214"/>
      <c r="D128" s="214"/>
      <c r="F128" s="214"/>
      <c r="G128" s="214"/>
      <c r="H128" s="648" t="s">
        <v>689</v>
      </c>
      <c r="J128" s="648" t="s">
        <v>692</v>
      </c>
      <c r="L128" s="648" t="s">
        <v>691</v>
      </c>
      <c r="N128" s="648" t="s">
        <v>687</v>
      </c>
      <c r="P128" s="648" t="s">
        <v>693</v>
      </c>
      <c r="AR128" s="513"/>
    </row>
    <row r="129" spans="2:44" ht="12.75" hidden="1">
      <c r="B129" s="73" t="s">
        <v>683</v>
      </c>
      <c r="E129" s="210"/>
      <c r="F129" s="73" t="s">
        <v>688</v>
      </c>
      <c r="H129" s="649"/>
      <c r="J129" s="649"/>
      <c r="L129" s="649"/>
      <c r="N129" s="649"/>
      <c r="P129" s="649"/>
      <c r="AR129" s="513"/>
    </row>
    <row r="130" spans="1:44" ht="12.75" hidden="1">
      <c r="A130" s="221" t="s">
        <v>720</v>
      </c>
      <c r="B130" s="275"/>
      <c r="E130" s="210"/>
      <c r="F130" s="276"/>
      <c r="G130" s="73" t="s">
        <v>386</v>
      </c>
      <c r="H130" s="215">
        <f>IF(B130&gt;0,(VLOOKUP(B130,OtherFuelsHV,3,FALSE)/'Conversion Factors'!$D$33),0)</f>
        <v>0</v>
      </c>
      <c r="I130" s="73" t="s">
        <v>386</v>
      </c>
      <c r="J130" s="216">
        <f>IF(B130&gt;0,VLOOKUP(B130,OtherFuelsCC,3,FALSE),0)</f>
        <v>0</v>
      </c>
      <c r="K130" s="73" t="s">
        <v>386</v>
      </c>
      <c r="L130" s="218">
        <f>IF(B130&gt;0,VLOOKUP(B130,OtherFuelsOF,3,FALSE),0)</f>
        <v>0</v>
      </c>
      <c r="M130" s="73" t="s">
        <v>387</v>
      </c>
      <c r="N130" s="224">
        <f>F130*H130*J130*L130*44/12</f>
        <v>0</v>
      </c>
      <c r="O130" s="73" t="s">
        <v>387</v>
      </c>
      <c r="P130" s="224">
        <f>N130/'Conversion Factors'!$D$33</f>
        <v>0</v>
      </c>
      <c r="AR130" s="513"/>
    </row>
    <row r="131" spans="1:44" ht="12.75" hidden="1">
      <c r="A131" s="221" t="s">
        <v>721</v>
      </c>
      <c r="B131" s="275"/>
      <c r="E131" s="210"/>
      <c r="F131" s="276"/>
      <c r="G131" s="73" t="s">
        <v>386</v>
      </c>
      <c r="H131" s="215">
        <f>IF(B131&gt;0,(VLOOKUP(B131,OtherFuelsHV,3,FALSE)/'Conversion Factors'!$D$33),0)</f>
        <v>0</v>
      </c>
      <c r="I131" s="73" t="s">
        <v>386</v>
      </c>
      <c r="J131" s="216">
        <f>IF(B131&gt;0,VLOOKUP(B131,OtherFuelsCC,3,FALSE),0)</f>
        <v>0</v>
      </c>
      <c r="K131" s="73" t="s">
        <v>386</v>
      </c>
      <c r="L131" s="218">
        <f>IF(B131&gt;0,VLOOKUP(B131,OtherFuelsOF,3,FALSE),0)</f>
        <v>0</v>
      </c>
      <c r="M131" s="73" t="s">
        <v>387</v>
      </c>
      <c r="N131" s="224">
        <f>F131*H131*J131*L131*44/12</f>
        <v>0</v>
      </c>
      <c r="O131" s="73" t="s">
        <v>387</v>
      </c>
      <c r="P131" s="224">
        <f>N131/'Conversion Factors'!$D$33</f>
        <v>0</v>
      </c>
      <c r="AR131" s="513"/>
    </row>
    <row r="132" spans="1:44" ht="12.75" hidden="1">
      <c r="A132" s="221" t="s">
        <v>722</v>
      </c>
      <c r="B132" s="275"/>
      <c r="E132" s="210"/>
      <c r="F132" s="276"/>
      <c r="G132" s="73" t="s">
        <v>386</v>
      </c>
      <c r="H132" s="215">
        <f>IF(B132&gt;0,(VLOOKUP(B132,OtherFuelsHV,3,FALSE)/'Conversion Factors'!$D$33),0)</f>
        <v>0</v>
      </c>
      <c r="I132" s="73" t="s">
        <v>386</v>
      </c>
      <c r="J132" s="216">
        <f>IF(B132&gt;0,VLOOKUP(B132,OtherFuelsCC,3,FALSE),0)</f>
        <v>0</v>
      </c>
      <c r="K132" s="73" t="s">
        <v>386</v>
      </c>
      <c r="L132" s="218">
        <f>IF(B132&gt;0,VLOOKUP(B132,OtherFuelsOF,3,FALSE),0)</f>
        <v>0</v>
      </c>
      <c r="M132" s="73" t="s">
        <v>387</v>
      </c>
      <c r="N132" s="224">
        <f>F132*H132*J132*L132*44/12</f>
        <v>0</v>
      </c>
      <c r="O132" s="73" t="s">
        <v>387</v>
      </c>
      <c r="P132" s="224">
        <f>N132/'Conversion Factors'!$D$33</f>
        <v>0</v>
      </c>
      <c r="AR132" s="513"/>
    </row>
    <row r="133" spans="1:44" ht="12.75" hidden="1">
      <c r="A133" s="221" t="s">
        <v>723</v>
      </c>
      <c r="B133" s="275"/>
      <c r="E133" s="210"/>
      <c r="F133" s="276"/>
      <c r="G133" s="73" t="s">
        <v>386</v>
      </c>
      <c r="H133" s="215">
        <f>IF(B133&gt;0,(VLOOKUP(B133,OtherFuelsHV,3,FALSE)/'Conversion Factors'!$D$33),0)</f>
        <v>0</v>
      </c>
      <c r="I133" s="73" t="s">
        <v>386</v>
      </c>
      <c r="J133" s="216">
        <f>IF(B133&gt;0,VLOOKUP(B133,OtherFuelsCC,3,FALSE),0)</f>
        <v>0</v>
      </c>
      <c r="K133" s="73" t="s">
        <v>386</v>
      </c>
      <c r="L133" s="218">
        <f>IF(B133&gt;0,VLOOKUP(B133,OtherFuelsOF,3,FALSE),0)</f>
        <v>0</v>
      </c>
      <c r="M133" s="73" t="s">
        <v>387</v>
      </c>
      <c r="N133" s="224">
        <f>F133*H133*J133*L133*44/12</f>
        <v>0</v>
      </c>
      <c r="O133" s="73" t="s">
        <v>387</v>
      </c>
      <c r="P133" s="224">
        <f>N133/'Conversion Factors'!$D$33</f>
        <v>0</v>
      </c>
      <c r="AR133" s="513"/>
    </row>
    <row r="134" spans="1:44" ht="12.75" hidden="1">
      <c r="A134" s="221" t="s">
        <v>724</v>
      </c>
      <c r="B134" s="275"/>
      <c r="E134" s="210"/>
      <c r="F134" s="276"/>
      <c r="G134" s="73" t="s">
        <v>386</v>
      </c>
      <c r="H134" s="215">
        <f>IF(B134&gt;0,(VLOOKUP(B134,OtherFuelsHV,3,FALSE)/'Conversion Factors'!$D$33),0)</f>
        <v>0</v>
      </c>
      <c r="I134" s="73" t="s">
        <v>386</v>
      </c>
      <c r="J134" s="216">
        <f>IF(B134&gt;0,VLOOKUP(B134,OtherFuelsCC,3,FALSE),0)</f>
        <v>0</v>
      </c>
      <c r="K134" s="73" t="s">
        <v>386</v>
      </c>
      <c r="L134" s="218">
        <f>IF(B134&gt;0,VLOOKUP(B134,OtherFuelsOF,3,FALSE),0)</f>
        <v>0</v>
      </c>
      <c r="M134" s="73" t="s">
        <v>387</v>
      </c>
      <c r="N134" s="224">
        <f>F134*H134*J134*L134*44/12</f>
        <v>0</v>
      </c>
      <c r="O134" s="73" t="s">
        <v>387</v>
      </c>
      <c r="P134" s="224">
        <f>N134/'Conversion Factors'!$D$33</f>
        <v>0</v>
      </c>
      <c r="AR134" s="513"/>
    </row>
    <row r="135" ht="12.75" hidden="1">
      <c r="AR135" s="513"/>
    </row>
    <row r="136" spans="2:44" ht="14.25" hidden="1">
      <c r="B136" s="220" t="s">
        <v>695</v>
      </c>
      <c r="H136" s="648" t="s">
        <v>689</v>
      </c>
      <c r="J136" s="648" t="s">
        <v>701</v>
      </c>
      <c r="K136" s="207" t="s">
        <v>708</v>
      </c>
      <c r="L136" s="648" t="s">
        <v>702</v>
      </c>
      <c r="N136" s="648" t="s">
        <v>703</v>
      </c>
      <c r="O136" s="207" t="s">
        <v>708</v>
      </c>
      <c r="P136" s="648" t="s">
        <v>704</v>
      </c>
      <c r="R136" s="648" t="s">
        <v>706</v>
      </c>
      <c r="S136" s="207" t="s">
        <v>708</v>
      </c>
      <c r="T136" s="648" t="s">
        <v>707</v>
      </c>
      <c r="AR136" s="513"/>
    </row>
    <row r="137" spans="2:44" ht="12.75" hidden="1">
      <c r="B137" s="73" t="s">
        <v>683</v>
      </c>
      <c r="D137" s="223"/>
      <c r="F137" s="73" t="s">
        <v>688</v>
      </c>
      <c r="H137" s="649"/>
      <c r="J137" s="649"/>
      <c r="K137" s="67"/>
      <c r="L137" s="649"/>
      <c r="N137" s="649"/>
      <c r="O137" s="67"/>
      <c r="P137" s="649"/>
      <c r="R137" s="649"/>
      <c r="S137" s="67"/>
      <c r="T137" s="649"/>
      <c r="AR137" s="513"/>
    </row>
    <row r="138" spans="1:44" ht="12.75" hidden="1">
      <c r="A138" s="221" t="s">
        <v>953</v>
      </c>
      <c r="B138" s="69">
        <f>IF(B130&gt;0,B130,"")</f>
      </c>
      <c r="D138" s="222"/>
      <c r="F138" s="219">
        <f>IF(F130&gt;0,F130,0)</f>
        <v>0</v>
      </c>
      <c r="G138" s="73" t="s">
        <v>386</v>
      </c>
      <c r="H138" s="71">
        <f>IF(H130&gt;0,H130,0)</f>
        <v>0</v>
      </c>
      <c r="I138" s="73" t="s">
        <v>386</v>
      </c>
      <c r="J138" s="71">
        <f>'NonCO2 Emission Factors'!$C$9</f>
        <v>0.010526315789473686</v>
      </c>
      <c r="K138" s="73" t="s">
        <v>386</v>
      </c>
      <c r="L138" s="71">
        <f>'NonCO2 Emission Factors'!$E$8</f>
        <v>0.0014736842105263158</v>
      </c>
      <c r="M138" s="73" t="s">
        <v>387</v>
      </c>
      <c r="N138" s="226">
        <f>IF(F138&gt;0,F138*H138*J138,0)</f>
        <v>0</v>
      </c>
      <c r="O138" s="73" t="s">
        <v>387</v>
      </c>
      <c r="P138" s="227">
        <f>IF(F138&gt;0,F138*H138*L138,0)</f>
        <v>0</v>
      </c>
      <c r="Q138" s="73" t="s">
        <v>387</v>
      </c>
      <c r="R138" s="224">
        <f>(N138*'Table 1. GWPs'!$D$7)/'Conversion Factors'!$D$33</f>
        <v>0</v>
      </c>
      <c r="S138" s="73" t="s">
        <v>387</v>
      </c>
      <c r="T138" s="224">
        <f>(P138*'Table 1. GWPs'!$D$8)/'Conversion Factors'!$D$33</f>
        <v>0</v>
      </c>
      <c r="AR138" s="513"/>
    </row>
    <row r="139" spans="1:44" ht="12.75" hidden="1">
      <c r="A139" s="221" t="s">
        <v>954</v>
      </c>
      <c r="B139" s="69">
        <f>IF(B131&gt;0,B131,"")</f>
      </c>
      <c r="D139" s="222"/>
      <c r="F139" s="219">
        <f>IF(F131&gt;0,F131,0)</f>
        <v>0</v>
      </c>
      <c r="G139" s="73" t="s">
        <v>386</v>
      </c>
      <c r="H139" s="71">
        <f>IF(H131&gt;0,H131,0)</f>
        <v>0</v>
      </c>
      <c r="I139" s="73" t="s">
        <v>386</v>
      </c>
      <c r="J139" s="71">
        <f>'NonCO2 Emission Factors'!$C$9</f>
        <v>0.010526315789473686</v>
      </c>
      <c r="K139" s="73" t="s">
        <v>386</v>
      </c>
      <c r="L139" s="71">
        <f>'NonCO2 Emission Factors'!$E$8</f>
        <v>0.0014736842105263158</v>
      </c>
      <c r="M139" s="73" t="s">
        <v>387</v>
      </c>
      <c r="N139" s="226">
        <f>IF(F139&gt;0,F139*H139*J139,0)</f>
        <v>0</v>
      </c>
      <c r="O139" s="73" t="s">
        <v>387</v>
      </c>
      <c r="P139" s="227">
        <f>IF(F139&gt;0,F139*H139*L139,0)</f>
        <v>0</v>
      </c>
      <c r="Q139" s="73" t="s">
        <v>387</v>
      </c>
      <c r="R139" s="224">
        <f>(N139*'Table 1. GWPs'!$D$7)/'Conversion Factors'!$D$33</f>
        <v>0</v>
      </c>
      <c r="S139" s="73" t="s">
        <v>387</v>
      </c>
      <c r="T139" s="224">
        <f>(P139*'Table 1. GWPs'!$D$8)/'Conversion Factors'!$D$33</f>
        <v>0</v>
      </c>
      <c r="AR139" s="513"/>
    </row>
    <row r="140" spans="1:44" ht="12.75" hidden="1">
      <c r="A140" s="221" t="s">
        <v>955</v>
      </c>
      <c r="B140" s="69">
        <f>IF(B132&gt;0,B132,"")</f>
      </c>
      <c r="D140" s="222"/>
      <c r="F140" s="219">
        <f>IF(F132&gt;0,F132,0)</f>
        <v>0</v>
      </c>
      <c r="G140" s="73" t="s">
        <v>386</v>
      </c>
      <c r="H140" s="71">
        <f>IF(H132&gt;0,H132,0)</f>
        <v>0</v>
      </c>
      <c r="I140" s="73" t="s">
        <v>386</v>
      </c>
      <c r="J140" s="71">
        <f>'NonCO2 Emission Factors'!$C$9</f>
        <v>0.010526315789473686</v>
      </c>
      <c r="K140" s="73" t="s">
        <v>386</v>
      </c>
      <c r="L140" s="71">
        <f>'NonCO2 Emission Factors'!$E$8</f>
        <v>0.0014736842105263158</v>
      </c>
      <c r="M140" s="73" t="s">
        <v>387</v>
      </c>
      <c r="N140" s="226">
        <f>IF(F140&gt;0,F140*H140*J140,0)</f>
        <v>0</v>
      </c>
      <c r="O140" s="73" t="s">
        <v>387</v>
      </c>
      <c r="P140" s="227">
        <f>IF(F140&gt;0,F140*H140*L140,0)</f>
        <v>0</v>
      </c>
      <c r="Q140" s="73" t="s">
        <v>387</v>
      </c>
      <c r="R140" s="224">
        <f>(N140*'Table 1. GWPs'!$D$7)/'Conversion Factors'!$D$33</f>
        <v>0</v>
      </c>
      <c r="S140" s="73" t="s">
        <v>387</v>
      </c>
      <c r="T140" s="224">
        <f>(P140*'Table 1. GWPs'!$D$8)/'Conversion Factors'!$D$33</f>
        <v>0</v>
      </c>
      <c r="AR140" s="513"/>
    </row>
    <row r="141" spans="1:44" ht="12.75" hidden="1">
      <c r="A141" s="221" t="s">
        <v>956</v>
      </c>
      <c r="B141" s="69">
        <f>IF(B133&gt;0,B133,"")</f>
      </c>
      <c r="D141" s="222"/>
      <c r="F141" s="219">
        <f>IF(F133&gt;0,F133,0)</f>
        <v>0</v>
      </c>
      <c r="G141" s="73" t="s">
        <v>386</v>
      </c>
      <c r="H141" s="71">
        <f>IF(H133&gt;0,H133,0)</f>
        <v>0</v>
      </c>
      <c r="I141" s="73" t="s">
        <v>386</v>
      </c>
      <c r="J141" s="71">
        <f>'NonCO2 Emission Factors'!$C$9</f>
        <v>0.010526315789473686</v>
      </c>
      <c r="K141" s="73" t="s">
        <v>386</v>
      </c>
      <c r="L141" s="71">
        <f>'NonCO2 Emission Factors'!$E$8</f>
        <v>0.0014736842105263158</v>
      </c>
      <c r="M141" s="73" t="s">
        <v>387</v>
      </c>
      <c r="N141" s="226">
        <f>IF(F141&gt;0,F141*H141*J141,0)</f>
        <v>0</v>
      </c>
      <c r="O141" s="73" t="s">
        <v>387</v>
      </c>
      <c r="P141" s="227">
        <f>IF(F141&gt;0,F141*H141*L141,0)</f>
        <v>0</v>
      </c>
      <c r="Q141" s="73" t="s">
        <v>387</v>
      </c>
      <c r="R141" s="224">
        <f>(N141*'Table 1. GWPs'!$D$7)/'Conversion Factors'!$D$33</f>
        <v>0</v>
      </c>
      <c r="S141" s="73" t="s">
        <v>387</v>
      </c>
      <c r="T141" s="224">
        <f>(P141*'Table 1. GWPs'!$D$8)/'Conversion Factors'!$D$33</f>
        <v>0</v>
      </c>
      <c r="AR141" s="513"/>
    </row>
    <row r="142" spans="1:44" ht="12.75" hidden="1">
      <c r="A142" s="221" t="s">
        <v>957</v>
      </c>
      <c r="B142" s="69">
        <f>IF(B134&gt;0,B134,"")</f>
      </c>
      <c r="D142" s="222"/>
      <c r="F142" s="219">
        <f>IF(F134&gt;0,F134,0)</f>
        <v>0</v>
      </c>
      <c r="G142" s="73" t="s">
        <v>386</v>
      </c>
      <c r="H142" s="71">
        <f>IF(H134&gt;0,H134,0)</f>
        <v>0</v>
      </c>
      <c r="I142" s="73" t="s">
        <v>386</v>
      </c>
      <c r="J142" s="71">
        <f>'NonCO2 Emission Factors'!$C$9</f>
        <v>0.010526315789473686</v>
      </c>
      <c r="K142" s="73" t="s">
        <v>386</v>
      </c>
      <c r="L142" s="71">
        <f>'NonCO2 Emission Factors'!$E$8</f>
        <v>0.0014736842105263158</v>
      </c>
      <c r="M142" s="73" t="s">
        <v>387</v>
      </c>
      <c r="N142" s="226">
        <f>IF(F142&gt;0,F142*H142*J142,0)</f>
        <v>0</v>
      </c>
      <c r="O142" s="73" t="s">
        <v>387</v>
      </c>
      <c r="P142" s="227">
        <f>IF(F142&gt;0,F142*H142*L142,0)</f>
        <v>0</v>
      </c>
      <c r="Q142" s="73" t="s">
        <v>387</v>
      </c>
      <c r="R142" s="224">
        <f>(N142*'Table 1. GWPs'!$D$7)/'Conversion Factors'!$D$33</f>
        <v>0</v>
      </c>
      <c r="S142" s="73" t="s">
        <v>387</v>
      </c>
      <c r="T142" s="224">
        <f>(P142*'Table 1. GWPs'!$D$8)/'Conversion Factors'!$D$33</f>
        <v>0</v>
      </c>
      <c r="AR142" s="513"/>
    </row>
    <row r="143" ht="12.75" hidden="1">
      <c r="AR143" s="513"/>
    </row>
    <row r="144" spans="1:44" ht="12.75" hidden="1">
      <c r="A144" s="505" t="s">
        <v>490</v>
      </c>
      <c r="AR144" s="513"/>
    </row>
    <row r="145" spans="2:44" ht="14.25" hidden="1">
      <c r="B145" s="220" t="s">
        <v>694</v>
      </c>
      <c r="C145" s="214"/>
      <c r="D145" s="214"/>
      <c r="F145" s="214"/>
      <c r="G145" s="214"/>
      <c r="H145" s="648" t="s">
        <v>689</v>
      </c>
      <c r="J145" s="648" t="s">
        <v>692</v>
      </c>
      <c r="L145" s="214"/>
      <c r="N145" s="648" t="s">
        <v>687</v>
      </c>
      <c r="P145" s="648" t="s">
        <v>693</v>
      </c>
      <c r="AR145" s="513"/>
    </row>
    <row r="146" spans="2:44" ht="12.75" hidden="1">
      <c r="B146" s="73" t="s">
        <v>686</v>
      </c>
      <c r="E146" s="210"/>
      <c r="F146" s="73" t="s">
        <v>688</v>
      </c>
      <c r="H146" s="649"/>
      <c r="J146" s="649"/>
      <c r="L146" s="67" t="s">
        <v>691</v>
      </c>
      <c r="N146" s="649"/>
      <c r="P146" s="649"/>
      <c r="AR146" s="513"/>
    </row>
    <row r="147" spans="1:44" ht="12.75" hidden="1">
      <c r="A147" s="221" t="s">
        <v>725</v>
      </c>
      <c r="B147" s="275"/>
      <c r="E147" s="210"/>
      <c r="F147" s="276"/>
      <c r="G147" s="73" t="s">
        <v>386</v>
      </c>
      <c r="H147" s="215">
        <f>IF(B147&gt;0,(VLOOKUP(B147,BiomassHV,3,FALSE)/'Conversion Factors'!$D$33),0)</f>
        <v>0</v>
      </c>
      <c r="I147" s="73" t="s">
        <v>386</v>
      </c>
      <c r="J147" s="216">
        <f>IF(B147&gt;0,VLOOKUP(B147,BiomassCC,3,FALSE),0)</f>
        <v>0</v>
      </c>
      <c r="K147" s="73" t="s">
        <v>386</v>
      </c>
      <c r="L147" s="218">
        <f>IF(B147&gt;0,VLOOKUP(B147,BiomassOF,3,FALSE),0)</f>
        <v>0</v>
      </c>
      <c r="M147" s="73" t="s">
        <v>387</v>
      </c>
      <c r="N147" s="224">
        <f>F147*H147*J147*L147*44/12</f>
        <v>0</v>
      </c>
      <c r="O147" s="73" t="s">
        <v>387</v>
      </c>
      <c r="P147" s="224">
        <f>N147/'Conversion Factors'!$D$33</f>
        <v>0</v>
      </c>
      <c r="AR147" s="513"/>
    </row>
    <row r="148" spans="1:44" ht="12.75" hidden="1">
      <c r="A148" s="221" t="s">
        <v>726</v>
      </c>
      <c r="B148" s="275"/>
      <c r="E148" s="210"/>
      <c r="F148" s="276"/>
      <c r="G148" s="73" t="s">
        <v>386</v>
      </c>
      <c r="H148" s="215">
        <f>IF(B148&gt;0,(VLOOKUP(B148,BiomassHV,3,FALSE)/'Conversion Factors'!$D$33),0)</f>
        <v>0</v>
      </c>
      <c r="I148" s="73" t="s">
        <v>386</v>
      </c>
      <c r="J148" s="216">
        <f>IF(B148&gt;0,VLOOKUP(B148,BiomassCC,3,FALSE),0)</f>
        <v>0</v>
      </c>
      <c r="K148" s="73" t="s">
        <v>386</v>
      </c>
      <c r="L148" s="218">
        <f>IF(B148&gt;0,VLOOKUP(B148,BiomassOF,3,FALSE),0)</f>
        <v>0</v>
      </c>
      <c r="M148" s="73" t="s">
        <v>387</v>
      </c>
      <c r="N148" s="224">
        <f>F148*H148*J148*L148*44/12</f>
        <v>0</v>
      </c>
      <c r="O148" s="73" t="s">
        <v>387</v>
      </c>
      <c r="P148" s="224">
        <f>N148/'Conversion Factors'!$D$33</f>
        <v>0</v>
      </c>
      <c r="AR148" s="513"/>
    </row>
    <row r="149" spans="1:44" ht="12.75" hidden="1">
      <c r="A149" s="221" t="s">
        <v>727</v>
      </c>
      <c r="B149" s="275"/>
      <c r="E149" s="210"/>
      <c r="F149" s="276"/>
      <c r="G149" s="73" t="s">
        <v>386</v>
      </c>
      <c r="H149" s="215">
        <f>IF(B149&gt;0,(VLOOKUP(B149,BiomassHV,3,FALSE)/'Conversion Factors'!$D$33),0)</f>
        <v>0</v>
      </c>
      <c r="I149" s="73" t="s">
        <v>386</v>
      </c>
      <c r="J149" s="216">
        <f>IF(B149&gt;0,VLOOKUP(B149,BiomassCC,3,FALSE),0)</f>
        <v>0</v>
      </c>
      <c r="K149" s="73" t="s">
        <v>386</v>
      </c>
      <c r="L149" s="218">
        <f>IF(B149&gt;0,VLOOKUP(B149,BiomassOF,3,FALSE),0)</f>
        <v>0</v>
      </c>
      <c r="M149" s="73" t="s">
        <v>387</v>
      </c>
      <c r="N149" s="224">
        <f>F149*H149*J149*L149*44/12</f>
        <v>0</v>
      </c>
      <c r="O149" s="73" t="s">
        <v>387</v>
      </c>
      <c r="P149" s="224">
        <f>N149/'Conversion Factors'!$D$33</f>
        <v>0</v>
      </c>
      <c r="AR149" s="513"/>
    </row>
    <row r="150" spans="1:44" ht="12.75" hidden="1">
      <c r="A150" s="221" t="s">
        <v>728</v>
      </c>
      <c r="B150" s="275"/>
      <c r="E150" s="210"/>
      <c r="F150" s="276"/>
      <c r="G150" s="73" t="s">
        <v>386</v>
      </c>
      <c r="H150" s="215">
        <f>IF(B150&gt;0,(VLOOKUP(B150,BiomassHV,3,FALSE)/'Conversion Factors'!$D$33),0)</f>
        <v>0</v>
      </c>
      <c r="I150" s="73" t="s">
        <v>386</v>
      </c>
      <c r="J150" s="216">
        <f>IF(B150&gt;0,VLOOKUP(B150,BiomassCC,3,FALSE),0)</f>
        <v>0</v>
      </c>
      <c r="K150" s="73" t="s">
        <v>386</v>
      </c>
      <c r="L150" s="218">
        <f>IF(B150&gt;0,VLOOKUP(B150,BiomassOF,3,FALSE),0)</f>
        <v>0</v>
      </c>
      <c r="M150" s="73" t="s">
        <v>387</v>
      </c>
      <c r="N150" s="224">
        <f>F150*H150*J150*L150*44/12</f>
        <v>0</v>
      </c>
      <c r="O150" s="73" t="s">
        <v>387</v>
      </c>
      <c r="P150" s="224">
        <f>N150/'Conversion Factors'!$D$33</f>
        <v>0</v>
      </c>
      <c r="AR150" s="513"/>
    </row>
    <row r="151" spans="1:44" ht="12.75" hidden="1">
      <c r="A151" s="221" t="s">
        <v>729</v>
      </c>
      <c r="B151" s="275"/>
      <c r="E151" s="210"/>
      <c r="F151" s="276"/>
      <c r="G151" s="73" t="s">
        <v>386</v>
      </c>
      <c r="H151" s="215">
        <f>IF(B151&gt;0,(VLOOKUP(B151,BiomassHV,3,FALSE)/'Conversion Factors'!$D$33),0)</f>
        <v>0</v>
      </c>
      <c r="I151" s="73" t="s">
        <v>386</v>
      </c>
      <c r="J151" s="216">
        <f>IF(B151&gt;0,VLOOKUP(B151,BiomassCC,3,FALSE),0)</f>
        <v>0</v>
      </c>
      <c r="K151" s="73" t="s">
        <v>386</v>
      </c>
      <c r="L151" s="218">
        <f>IF(B151&gt;0,VLOOKUP(B151,BiomassOF,3,FALSE),0)</f>
        <v>0</v>
      </c>
      <c r="M151" s="73" t="s">
        <v>387</v>
      </c>
      <c r="N151" s="224">
        <f>F151*H151*J151*L151*44/12</f>
        <v>0</v>
      </c>
      <c r="O151" s="73" t="s">
        <v>387</v>
      </c>
      <c r="P151" s="224">
        <f>N151/'Conversion Factors'!$D$33</f>
        <v>0</v>
      </c>
      <c r="AR151" s="513"/>
    </row>
    <row r="152" ht="12.75" hidden="1">
      <c r="AR152" s="513"/>
    </row>
    <row r="153" spans="2:44" ht="14.25" hidden="1">
      <c r="B153" s="220" t="s">
        <v>695</v>
      </c>
      <c r="H153" s="648" t="s">
        <v>689</v>
      </c>
      <c r="J153" s="648" t="s">
        <v>701</v>
      </c>
      <c r="K153" s="207" t="s">
        <v>708</v>
      </c>
      <c r="L153" s="648" t="s">
        <v>702</v>
      </c>
      <c r="N153" s="648" t="s">
        <v>703</v>
      </c>
      <c r="O153" s="207" t="s">
        <v>708</v>
      </c>
      <c r="P153" s="648" t="s">
        <v>704</v>
      </c>
      <c r="R153" s="648" t="s">
        <v>706</v>
      </c>
      <c r="S153" s="207" t="s">
        <v>708</v>
      </c>
      <c r="T153" s="648" t="s">
        <v>707</v>
      </c>
      <c r="AR153" s="513"/>
    </row>
    <row r="154" spans="2:44" ht="12.75" hidden="1">
      <c r="B154" s="73" t="s">
        <v>686</v>
      </c>
      <c r="F154" s="73" t="s">
        <v>688</v>
      </c>
      <c r="H154" s="649"/>
      <c r="J154" s="649"/>
      <c r="K154" s="67"/>
      <c r="L154" s="649"/>
      <c r="N154" s="649"/>
      <c r="O154" s="67"/>
      <c r="P154" s="649"/>
      <c r="R154" s="649"/>
      <c r="S154" s="67"/>
      <c r="T154" s="649"/>
      <c r="AR154" s="513"/>
    </row>
    <row r="155" spans="1:44" ht="12.75" hidden="1">
      <c r="A155" s="221" t="s">
        <v>958</v>
      </c>
      <c r="B155" s="69">
        <f>IF(B147&gt;0,B147,"")</f>
      </c>
      <c r="F155" s="219">
        <f>IF(F147&gt;0,F147,0)</f>
        <v>0</v>
      </c>
      <c r="G155" s="73" t="s">
        <v>386</v>
      </c>
      <c r="H155" s="71">
        <f>IF(H147&gt;0,H147,0)</f>
        <v>0</v>
      </c>
      <c r="I155" s="73" t="s">
        <v>386</v>
      </c>
      <c r="J155" s="71">
        <f>'NonCO2 Emission Factors'!$C$9</f>
        <v>0.010526315789473686</v>
      </c>
      <c r="K155" s="73" t="s">
        <v>386</v>
      </c>
      <c r="L155" s="71">
        <f>'NonCO2 Emission Factors'!$E$8</f>
        <v>0.0014736842105263158</v>
      </c>
      <c r="M155" s="73" t="s">
        <v>387</v>
      </c>
      <c r="N155" s="226">
        <f>IF(F155&gt;0,F155*H155*J155,0)</f>
        <v>0</v>
      </c>
      <c r="O155" s="73" t="s">
        <v>387</v>
      </c>
      <c r="P155" s="227">
        <f>IF(F155&gt;0,F155*H155*L155,0)</f>
        <v>0</v>
      </c>
      <c r="Q155" s="73" t="s">
        <v>387</v>
      </c>
      <c r="R155" s="224">
        <f>(N155*'Table 1. GWPs'!$D$7)/'Conversion Factors'!$D$33</f>
        <v>0</v>
      </c>
      <c r="S155" s="73" t="s">
        <v>387</v>
      </c>
      <c r="T155" s="224">
        <f>(P155*'Table 1. GWPs'!$D$8)/'Conversion Factors'!$D$33</f>
        <v>0</v>
      </c>
      <c r="AR155" s="513"/>
    </row>
    <row r="156" spans="1:44" ht="12.75" hidden="1">
      <c r="A156" s="221" t="s">
        <v>959</v>
      </c>
      <c r="B156" s="69">
        <f>IF(B148&gt;0,B148,"")</f>
      </c>
      <c r="F156" s="219">
        <f>IF(F148&gt;0,F148,0)</f>
        <v>0</v>
      </c>
      <c r="G156" s="73" t="s">
        <v>386</v>
      </c>
      <c r="H156" s="71">
        <f>IF(H148&gt;0,H148,0)</f>
        <v>0</v>
      </c>
      <c r="I156" s="73" t="s">
        <v>386</v>
      </c>
      <c r="J156" s="71">
        <f>'NonCO2 Emission Factors'!$C$9</f>
        <v>0.010526315789473686</v>
      </c>
      <c r="K156" s="73" t="s">
        <v>386</v>
      </c>
      <c r="L156" s="71">
        <f>'NonCO2 Emission Factors'!$E$8</f>
        <v>0.0014736842105263158</v>
      </c>
      <c r="M156" s="73" t="s">
        <v>387</v>
      </c>
      <c r="N156" s="226">
        <f>IF(F156&gt;0,F156*H156*J156,0)</f>
        <v>0</v>
      </c>
      <c r="O156" s="73" t="s">
        <v>387</v>
      </c>
      <c r="P156" s="227">
        <f>IF(F156&gt;0,F156*H156*L156,0)</f>
        <v>0</v>
      </c>
      <c r="Q156" s="73" t="s">
        <v>387</v>
      </c>
      <c r="R156" s="224">
        <f>(N156*'Table 1. GWPs'!$D$7)/'Conversion Factors'!$D$33</f>
        <v>0</v>
      </c>
      <c r="S156" s="73" t="s">
        <v>387</v>
      </c>
      <c r="T156" s="224">
        <f>(P156*'Table 1. GWPs'!$D$8)/'Conversion Factors'!$D$33</f>
        <v>0</v>
      </c>
      <c r="AR156" s="513"/>
    </row>
    <row r="157" spans="1:44" ht="12.75" hidden="1">
      <c r="A157" s="221" t="s">
        <v>960</v>
      </c>
      <c r="B157" s="69">
        <f>IF(B149&gt;0,B149,"")</f>
      </c>
      <c r="F157" s="219">
        <f>IF(F149&gt;0,F149,0)</f>
        <v>0</v>
      </c>
      <c r="G157" s="73" t="s">
        <v>386</v>
      </c>
      <c r="H157" s="71">
        <f>IF(H149&gt;0,H149,0)</f>
        <v>0</v>
      </c>
      <c r="I157" s="73" t="s">
        <v>386</v>
      </c>
      <c r="J157" s="71">
        <f>'NonCO2 Emission Factors'!$C$9</f>
        <v>0.010526315789473686</v>
      </c>
      <c r="K157" s="73" t="s">
        <v>386</v>
      </c>
      <c r="L157" s="71">
        <f>'NonCO2 Emission Factors'!$E$8</f>
        <v>0.0014736842105263158</v>
      </c>
      <c r="M157" s="73" t="s">
        <v>387</v>
      </c>
      <c r="N157" s="226">
        <f>IF(F157&gt;0,F157*H157*J157,0)</f>
        <v>0</v>
      </c>
      <c r="O157" s="73" t="s">
        <v>387</v>
      </c>
      <c r="P157" s="227">
        <f>IF(F157&gt;0,F157*H157*L157,0)</f>
        <v>0</v>
      </c>
      <c r="Q157" s="73" t="s">
        <v>387</v>
      </c>
      <c r="R157" s="224">
        <f>(N157*'Table 1. GWPs'!$D$7)/'Conversion Factors'!$D$33</f>
        <v>0</v>
      </c>
      <c r="S157" s="73" t="s">
        <v>387</v>
      </c>
      <c r="T157" s="224">
        <f>(P157*'Table 1. GWPs'!$D$8)/'Conversion Factors'!$D$33</f>
        <v>0</v>
      </c>
      <c r="AR157" s="513"/>
    </row>
    <row r="158" spans="1:44" ht="12.75" hidden="1">
      <c r="A158" s="221" t="s">
        <v>961</v>
      </c>
      <c r="B158" s="69">
        <f>IF(B150&gt;0,B150,"")</f>
      </c>
      <c r="F158" s="219">
        <f>IF(F150&gt;0,F150,0)</f>
        <v>0</v>
      </c>
      <c r="G158" s="73" t="s">
        <v>386</v>
      </c>
      <c r="H158" s="71">
        <f>IF(H150&gt;0,H150,0)</f>
        <v>0</v>
      </c>
      <c r="I158" s="73" t="s">
        <v>386</v>
      </c>
      <c r="J158" s="71">
        <f>'NonCO2 Emission Factors'!$C$9</f>
        <v>0.010526315789473686</v>
      </c>
      <c r="K158" s="73" t="s">
        <v>386</v>
      </c>
      <c r="L158" s="71">
        <f>'NonCO2 Emission Factors'!$E$8</f>
        <v>0.0014736842105263158</v>
      </c>
      <c r="M158" s="73" t="s">
        <v>387</v>
      </c>
      <c r="N158" s="226">
        <f>IF(F158&gt;0,F158*H158*J158,0)</f>
        <v>0</v>
      </c>
      <c r="O158" s="73" t="s">
        <v>387</v>
      </c>
      <c r="P158" s="227">
        <f>IF(F158&gt;0,F158*H158*L158,0)</f>
        <v>0</v>
      </c>
      <c r="Q158" s="73" t="s">
        <v>387</v>
      </c>
      <c r="R158" s="224">
        <f>(N158*'Table 1. GWPs'!$D$7)/'Conversion Factors'!$D$33</f>
        <v>0</v>
      </c>
      <c r="S158" s="73" t="s">
        <v>387</v>
      </c>
      <c r="T158" s="224">
        <f>(P158*'Table 1. GWPs'!$D$8)/'Conversion Factors'!$D$33</f>
        <v>0</v>
      </c>
      <c r="AR158" s="513"/>
    </row>
    <row r="159" spans="1:44" ht="12.75" hidden="1">
      <c r="A159" s="221" t="s">
        <v>962</v>
      </c>
      <c r="B159" s="69">
        <f>IF(B151&gt;0,B151,"")</f>
      </c>
      <c r="F159" s="219">
        <f>IF(F151&gt;0,F151,0)</f>
        <v>0</v>
      </c>
      <c r="G159" s="73" t="s">
        <v>386</v>
      </c>
      <c r="H159" s="71">
        <f>IF(H151&gt;0,H151,0)</f>
        <v>0</v>
      </c>
      <c r="I159" s="73" t="s">
        <v>386</v>
      </c>
      <c r="J159" s="71">
        <f>'NonCO2 Emission Factors'!$C$9</f>
        <v>0.010526315789473686</v>
      </c>
      <c r="K159" s="73" t="s">
        <v>386</v>
      </c>
      <c r="L159" s="71">
        <f>'NonCO2 Emission Factors'!$E$8</f>
        <v>0.0014736842105263158</v>
      </c>
      <c r="M159" s="73" t="s">
        <v>387</v>
      </c>
      <c r="N159" s="226">
        <f>IF(F159&gt;0,F159*H159*J159,0)</f>
        <v>0</v>
      </c>
      <c r="O159" s="73" t="s">
        <v>387</v>
      </c>
      <c r="P159" s="227">
        <f>IF(F159&gt;0,F159*H159*L159,0)</f>
        <v>0</v>
      </c>
      <c r="Q159" s="73" t="s">
        <v>387</v>
      </c>
      <c r="R159" s="224">
        <f>(N159*'Table 1. GWPs'!$D$7)/'Conversion Factors'!$D$33</f>
        <v>0</v>
      </c>
      <c r="S159" s="73" t="s">
        <v>387</v>
      </c>
      <c r="T159" s="224">
        <f>(P159*'Table 1. GWPs'!$D$8)/'Conversion Factors'!$D$33</f>
        <v>0</v>
      </c>
      <c r="AR159" s="513"/>
    </row>
    <row r="160" ht="12.75" hidden="1">
      <c r="AR160" s="513"/>
    </row>
    <row r="161" spans="1:44" ht="13.5" hidden="1" thickBot="1">
      <c r="A161" s="209"/>
      <c r="B161" s="209"/>
      <c r="C161" s="209"/>
      <c r="D161" s="209"/>
      <c r="E161" s="209"/>
      <c r="F161" s="209"/>
      <c r="G161" s="209"/>
      <c r="H161" s="209"/>
      <c r="I161" s="209"/>
      <c r="J161" s="209"/>
      <c r="K161" s="209"/>
      <c r="L161" s="209"/>
      <c r="M161" s="209"/>
      <c r="N161" s="209"/>
      <c r="O161" s="209"/>
      <c r="P161" s="209"/>
      <c r="Q161" s="209"/>
      <c r="R161" s="209"/>
      <c r="S161" s="209"/>
      <c r="T161" s="209"/>
      <c r="U161" s="209"/>
      <c r="V161" s="209"/>
      <c r="W161" s="209"/>
      <c r="X161" s="209"/>
      <c r="Y161" s="209"/>
      <c r="Z161" s="209"/>
      <c r="AR161" s="513"/>
    </row>
    <row r="162" spans="2:44" s="530" customFormat="1" ht="35.25" customHeight="1" thickBot="1" thickTop="1">
      <c r="B162" s="532" t="s">
        <v>35</v>
      </c>
      <c r="AA162" s="529"/>
      <c r="AB162" s="529"/>
      <c r="AD162" s="529"/>
      <c r="AN162" s="531"/>
      <c r="AR162" s="513"/>
    </row>
    <row r="163" ht="7.5" customHeight="1" hidden="1" thickTop="1">
      <c r="AR163" s="513"/>
    </row>
    <row r="164" spans="2:44" ht="31.5" customHeight="1" hidden="1">
      <c r="B164" s="647" t="s">
        <v>36</v>
      </c>
      <c r="C164" s="647"/>
      <c r="D164" s="647"/>
      <c r="E164" s="647"/>
      <c r="F164" s="647"/>
      <c r="G164" s="647"/>
      <c r="H164" s="647"/>
      <c r="AR164" s="513"/>
    </row>
    <row r="165" ht="12.75" hidden="1"/>
    <row r="166" spans="2:8" ht="30" customHeight="1" hidden="1">
      <c r="B166" s="647" t="s">
        <v>33</v>
      </c>
      <c r="C166" s="647"/>
      <c r="D166" s="647"/>
      <c r="E166" s="647"/>
      <c r="F166" s="647"/>
      <c r="G166" s="647"/>
      <c r="H166" s="647"/>
    </row>
    <row r="167" spans="2:16" ht="39" hidden="1">
      <c r="B167" s="223" t="s">
        <v>742</v>
      </c>
      <c r="C167" s="229"/>
      <c r="D167" s="66" t="s">
        <v>745</v>
      </c>
      <c r="F167" s="73" t="s">
        <v>744</v>
      </c>
      <c r="H167" s="73" t="s">
        <v>747</v>
      </c>
      <c r="J167" s="73" t="s">
        <v>750</v>
      </c>
      <c r="L167" s="73" t="s">
        <v>929</v>
      </c>
      <c r="N167" s="67" t="s">
        <v>930</v>
      </c>
      <c r="P167" s="67" t="s">
        <v>34</v>
      </c>
    </row>
    <row r="168" spans="1:16" ht="12.75" hidden="1">
      <c r="A168" s="221" t="s">
        <v>696</v>
      </c>
      <c r="B168" s="278"/>
      <c r="C168" s="228"/>
      <c r="D168" s="276"/>
      <c r="E168" s="73"/>
      <c r="F168" s="276"/>
      <c r="G168" s="73" t="s">
        <v>386</v>
      </c>
      <c r="H168" s="217">
        <f>IF(D168&gt;0,VLOOKUP(D168,'Table 1. GWPs'!$C$69:$D$89,2,FALSE),0)</f>
        <v>0</v>
      </c>
      <c r="I168" s="73" t="s">
        <v>386</v>
      </c>
      <c r="J168" s="208">
        <f>IF(B168&gt;0,VLOOKUP(B168,RefrigerationACTable,2,FALSE),0)</f>
        <v>0</v>
      </c>
      <c r="K168" s="73" t="s">
        <v>386</v>
      </c>
      <c r="L168" s="258">
        <f>IF(B168&gt;0,VLOOKUP(B168,RefrigerationACTable,5,FALSE),0)</f>
        <v>0</v>
      </c>
      <c r="M168" s="73" t="s">
        <v>387</v>
      </c>
      <c r="N168" s="224">
        <f aca="true" t="shared" si="0" ref="N168:N174">F168*H168*J168*L168</f>
        <v>0</v>
      </c>
      <c r="O168" s="73" t="s">
        <v>387</v>
      </c>
      <c r="P168" s="224">
        <f>N168/'Conversion Factors'!$D$33</f>
        <v>0</v>
      </c>
    </row>
    <row r="169" spans="1:16" ht="12.75" hidden="1">
      <c r="A169" s="221" t="s">
        <v>697</v>
      </c>
      <c r="B169" s="278"/>
      <c r="C169" s="228"/>
      <c r="D169" s="276"/>
      <c r="E169" s="73"/>
      <c r="F169" s="276"/>
      <c r="G169" s="73" t="s">
        <v>386</v>
      </c>
      <c r="H169" s="217">
        <f>IF(D169&gt;0,VLOOKUP(D169,'Table 1. GWPs'!$C$69:$D$89,2,FALSE),0)</f>
        <v>0</v>
      </c>
      <c r="I169" s="73" t="s">
        <v>386</v>
      </c>
      <c r="J169" s="208">
        <f aca="true" t="shared" si="1" ref="J169:J174">IF(B169&gt;0,VLOOKUP(B169,RefrigerationACTable,2,FALSE),0)</f>
        <v>0</v>
      </c>
      <c r="K169" s="73" t="s">
        <v>386</v>
      </c>
      <c r="L169" s="258">
        <f aca="true" t="shared" si="2" ref="L169:L174">IF(B169&gt;0,VLOOKUP(B169,RefrigerationACTable,5,FALSE),0)</f>
        <v>0</v>
      </c>
      <c r="M169" s="73" t="s">
        <v>387</v>
      </c>
      <c r="N169" s="224">
        <f t="shared" si="0"/>
        <v>0</v>
      </c>
      <c r="O169" s="73" t="s">
        <v>387</v>
      </c>
      <c r="P169" s="224">
        <f>N169/'Conversion Factors'!$D$33</f>
        <v>0</v>
      </c>
    </row>
    <row r="170" spans="1:16" ht="12.75" hidden="1">
      <c r="A170" s="221" t="s">
        <v>698</v>
      </c>
      <c r="B170" s="278"/>
      <c r="C170" s="228"/>
      <c r="D170" s="276"/>
      <c r="E170" s="73"/>
      <c r="F170" s="276"/>
      <c r="G170" s="73" t="s">
        <v>386</v>
      </c>
      <c r="H170" s="217">
        <f>IF(D170&gt;0,VLOOKUP(D170,'Table 1. GWPs'!$C$69:$D$89,2,FALSE),0)</f>
        <v>0</v>
      </c>
      <c r="I170" s="73" t="s">
        <v>386</v>
      </c>
      <c r="J170" s="208">
        <f>IF(B170&gt;0,VLOOKUP(B170,RefrigerationACTable,2,FALSE),0)</f>
        <v>0</v>
      </c>
      <c r="K170" s="73" t="s">
        <v>386</v>
      </c>
      <c r="L170" s="258">
        <f>IF(B170&gt;0,VLOOKUP(B170,RefrigerationACTable,5,FALSE),0)</f>
        <v>0</v>
      </c>
      <c r="M170" s="73" t="s">
        <v>387</v>
      </c>
      <c r="N170" s="224">
        <f t="shared" si="0"/>
        <v>0</v>
      </c>
      <c r="O170" s="73" t="s">
        <v>387</v>
      </c>
      <c r="P170" s="224">
        <f>N170/'Conversion Factors'!$D$33</f>
        <v>0</v>
      </c>
    </row>
    <row r="171" spans="1:16" ht="12.75" hidden="1">
      <c r="A171" s="221" t="s">
        <v>699</v>
      </c>
      <c r="B171" s="278"/>
      <c r="C171" s="228"/>
      <c r="D171" s="276"/>
      <c r="E171" s="73"/>
      <c r="F171" s="276"/>
      <c r="G171" s="73" t="s">
        <v>386</v>
      </c>
      <c r="H171" s="217">
        <f>IF(D171&gt;0,VLOOKUP(D171,'Table 1. GWPs'!$C$69:$D$89,2,FALSE),0)</f>
        <v>0</v>
      </c>
      <c r="I171" s="73" t="s">
        <v>386</v>
      </c>
      <c r="J171" s="208">
        <f t="shared" si="1"/>
        <v>0</v>
      </c>
      <c r="K171" s="73" t="s">
        <v>386</v>
      </c>
      <c r="L171" s="258">
        <f t="shared" si="2"/>
        <v>0</v>
      </c>
      <c r="M171" s="73" t="s">
        <v>387</v>
      </c>
      <c r="N171" s="224">
        <f t="shared" si="0"/>
        <v>0</v>
      </c>
      <c r="O171" s="73" t="s">
        <v>387</v>
      </c>
      <c r="P171" s="224">
        <f>N171/'Conversion Factors'!$D$33</f>
        <v>0</v>
      </c>
    </row>
    <row r="172" spans="1:16" ht="12.75" hidden="1">
      <c r="A172" s="221" t="s">
        <v>700</v>
      </c>
      <c r="B172" s="278"/>
      <c r="C172" s="228"/>
      <c r="D172" s="276"/>
      <c r="E172" s="73"/>
      <c r="F172" s="276"/>
      <c r="G172" s="73" t="s">
        <v>386</v>
      </c>
      <c r="H172" s="217">
        <f>IF(D172&gt;0,VLOOKUP(D172,'Table 1. GWPs'!$C$69:$D$89,2,FALSE),0)</f>
        <v>0</v>
      </c>
      <c r="I172" s="73" t="s">
        <v>386</v>
      </c>
      <c r="J172" s="208">
        <f t="shared" si="1"/>
        <v>0</v>
      </c>
      <c r="K172" s="73" t="s">
        <v>386</v>
      </c>
      <c r="L172" s="258">
        <f t="shared" si="2"/>
        <v>0</v>
      </c>
      <c r="M172" s="73" t="s">
        <v>387</v>
      </c>
      <c r="N172" s="224">
        <f t="shared" si="0"/>
        <v>0</v>
      </c>
      <c r="O172" s="73" t="s">
        <v>387</v>
      </c>
      <c r="P172" s="224">
        <f>N172/'Conversion Factors'!$D$33</f>
        <v>0</v>
      </c>
    </row>
    <row r="173" spans="1:16" ht="12.75" hidden="1">
      <c r="A173" s="221" t="s">
        <v>710</v>
      </c>
      <c r="B173" s="278"/>
      <c r="C173" s="228"/>
      <c r="D173" s="276"/>
      <c r="E173" s="73"/>
      <c r="F173" s="276"/>
      <c r="G173" s="73" t="s">
        <v>386</v>
      </c>
      <c r="H173" s="217">
        <f>IF(D173&gt;0,VLOOKUP(D173,'Table 1. GWPs'!$C$69:$D$89,2,FALSE),0)</f>
        <v>0</v>
      </c>
      <c r="I173" s="73" t="s">
        <v>386</v>
      </c>
      <c r="J173" s="208">
        <f t="shared" si="1"/>
        <v>0</v>
      </c>
      <c r="K173" s="73" t="s">
        <v>386</v>
      </c>
      <c r="L173" s="258">
        <f t="shared" si="2"/>
        <v>0</v>
      </c>
      <c r="M173" s="73" t="s">
        <v>387</v>
      </c>
      <c r="N173" s="224">
        <f t="shared" si="0"/>
        <v>0</v>
      </c>
      <c r="O173" s="73" t="s">
        <v>387</v>
      </c>
      <c r="P173" s="224">
        <f>N173/'Conversion Factors'!$D$33</f>
        <v>0</v>
      </c>
    </row>
    <row r="174" spans="1:16" ht="12.75" hidden="1">
      <c r="A174" s="221" t="s">
        <v>711</v>
      </c>
      <c r="B174" s="278"/>
      <c r="C174" s="228"/>
      <c r="D174" s="276"/>
      <c r="E174" s="73"/>
      <c r="F174" s="276"/>
      <c r="G174" s="73" t="s">
        <v>386</v>
      </c>
      <c r="H174" s="217">
        <f>IF(D174&gt;0,VLOOKUP(D174,'Table 1. GWPs'!$C$69:$D$89,2,FALSE),0)</f>
        <v>0</v>
      </c>
      <c r="I174" s="73" t="s">
        <v>386</v>
      </c>
      <c r="J174" s="208">
        <f t="shared" si="1"/>
        <v>0</v>
      </c>
      <c r="K174" s="73" t="s">
        <v>386</v>
      </c>
      <c r="L174" s="258">
        <f t="shared" si="2"/>
        <v>0</v>
      </c>
      <c r="M174" s="73" t="s">
        <v>387</v>
      </c>
      <c r="N174" s="224">
        <f t="shared" si="0"/>
        <v>0</v>
      </c>
      <c r="O174" s="73" t="s">
        <v>387</v>
      </c>
      <c r="P174" s="224">
        <f>N174/'Conversion Factors'!$D$33</f>
        <v>0</v>
      </c>
    </row>
    <row r="175" spans="2:10" ht="12.75" hidden="1">
      <c r="B175" s="263" t="s">
        <v>937</v>
      </c>
      <c r="J175" s="262" t="s">
        <v>749</v>
      </c>
    </row>
    <row r="176" ht="12.75" hidden="1">
      <c r="B176" s="263" t="s">
        <v>743</v>
      </c>
    </row>
    <row r="177" ht="12.75" hidden="1">
      <c r="B177" s="263"/>
    </row>
    <row r="178" spans="2:8" ht="54.75" customHeight="1" hidden="1">
      <c r="B178" s="647" t="s">
        <v>38</v>
      </c>
      <c r="C178" s="647"/>
      <c r="D178" s="647"/>
      <c r="E178" s="647"/>
      <c r="F178" s="647"/>
      <c r="G178" s="647"/>
      <c r="H178" s="647"/>
    </row>
    <row r="179" ht="7.5" customHeight="1" hidden="1">
      <c r="B179" s="263"/>
    </row>
    <row r="180" ht="3.75" customHeight="1" hidden="1">
      <c r="B180" s="263"/>
    </row>
    <row r="181" spans="2:10" ht="29.25" customHeight="1" hidden="1">
      <c r="B181" s="73" t="s">
        <v>13</v>
      </c>
      <c r="D181" s="73" t="s">
        <v>24</v>
      </c>
      <c r="F181" s="73" t="s">
        <v>14</v>
      </c>
      <c r="H181" s="67" t="s">
        <v>930</v>
      </c>
      <c r="J181" s="67" t="s">
        <v>34</v>
      </c>
    </row>
    <row r="182" spans="1:12" ht="12.75" hidden="1">
      <c r="A182" s="221" t="s">
        <v>696</v>
      </c>
      <c r="B182" s="276"/>
      <c r="D182" s="275"/>
      <c r="E182" s="73" t="s">
        <v>386</v>
      </c>
      <c r="F182" s="217">
        <f>IF(D182&gt;0,VLOOKUP(B182,'Table 1. GWPs'!$C$68:$D$89,2,FALSE),0)</f>
        <v>0</v>
      </c>
      <c r="G182" s="73" t="s">
        <v>387</v>
      </c>
      <c r="H182" s="224">
        <f aca="true" t="shared" si="3" ref="H182:H191">D182*F182</f>
        <v>0</v>
      </c>
      <c r="I182" s="73" t="s">
        <v>387</v>
      </c>
      <c r="J182" s="224">
        <f>H182/'Conversion Factors'!$D$33</f>
        <v>0</v>
      </c>
      <c r="L182" s="518">
        <f>IF(B182="CO2",J182,0)</f>
        <v>0</v>
      </c>
    </row>
    <row r="183" spans="1:12" ht="12.75" hidden="1">
      <c r="A183" s="221" t="s">
        <v>697</v>
      </c>
      <c r="B183" s="276"/>
      <c r="D183" s="275"/>
      <c r="E183" s="73" t="s">
        <v>386</v>
      </c>
      <c r="F183" s="217">
        <f>IF(D183&gt;0,VLOOKUP(B183,'Table 1. GWPs'!$C$68:$D$89,2,FALSE),0)</f>
        <v>0</v>
      </c>
      <c r="G183" s="73" t="s">
        <v>387</v>
      </c>
      <c r="H183" s="224">
        <f t="shared" si="3"/>
        <v>0</v>
      </c>
      <c r="I183" s="73" t="s">
        <v>387</v>
      </c>
      <c r="J183" s="224">
        <f>H183/'Conversion Factors'!$D$33</f>
        <v>0</v>
      </c>
      <c r="L183" s="518">
        <f aca="true" t="shared" si="4" ref="L183:L191">IF(B183="CO2",J183,0)</f>
        <v>0</v>
      </c>
    </row>
    <row r="184" spans="1:12" ht="12.75" hidden="1">
      <c r="A184" s="221" t="s">
        <v>698</v>
      </c>
      <c r="B184" s="276"/>
      <c r="D184" s="275"/>
      <c r="E184" s="73" t="s">
        <v>386</v>
      </c>
      <c r="F184" s="217">
        <f>IF(D184&gt;0,VLOOKUP(B184,'Table 1. GWPs'!$C$68:$D$89,2,FALSE),0)</f>
        <v>0</v>
      </c>
      <c r="G184" s="73" t="s">
        <v>387</v>
      </c>
      <c r="H184" s="224">
        <f t="shared" si="3"/>
        <v>0</v>
      </c>
      <c r="I184" s="73" t="s">
        <v>387</v>
      </c>
      <c r="J184" s="224">
        <f>H184/'Conversion Factors'!$D$33</f>
        <v>0</v>
      </c>
      <c r="L184" s="518">
        <f t="shared" si="4"/>
        <v>0</v>
      </c>
    </row>
    <row r="185" spans="1:12" ht="12.75" hidden="1">
      <c r="A185" s="221" t="s">
        <v>699</v>
      </c>
      <c r="B185" s="276"/>
      <c r="D185" s="275"/>
      <c r="E185" s="73" t="s">
        <v>386</v>
      </c>
      <c r="F185" s="217">
        <f>IF(D185&gt;0,VLOOKUP(B185,'Table 1. GWPs'!$C$68:$D$89,2,FALSE),0)</f>
        <v>0</v>
      </c>
      <c r="G185" s="73" t="s">
        <v>387</v>
      </c>
      <c r="H185" s="224">
        <f t="shared" si="3"/>
        <v>0</v>
      </c>
      <c r="I185" s="73" t="s">
        <v>387</v>
      </c>
      <c r="J185" s="224">
        <f>H185/'Conversion Factors'!$D$33</f>
        <v>0</v>
      </c>
      <c r="L185" s="518">
        <f t="shared" si="4"/>
        <v>0</v>
      </c>
    </row>
    <row r="186" spans="1:12" ht="12.75" hidden="1">
      <c r="A186" s="221" t="s">
        <v>700</v>
      </c>
      <c r="B186" s="276"/>
      <c r="D186" s="275"/>
      <c r="E186" s="73" t="s">
        <v>386</v>
      </c>
      <c r="F186" s="217">
        <f>IF(D186&gt;0,VLOOKUP(B186,'Table 1. GWPs'!$C$68:$D$89,2,FALSE),0)</f>
        <v>0</v>
      </c>
      <c r="G186" s="73" t="s">
        <v>387</v>
      </c>
      <c r="H186" s="224">
        <f t="shared" si="3"/>
        <v>0</v>
      </c>
      <c r="I186" s="73" t="s">
        <v>387</v>
      </c>
      <c r="J186" s="224">
        <f>H186/'Conversion Factors'!$D$33</f>
        <v>0</v>
      </c>
      <c r="L186" s="518">
        <f t="shared" si="4"/>
        <v>0</v>
      </c>
    </row>
    <row r="187" spans="1:12" ht="12.75" hidden="1">
      <c r="A187" s="221" t="s">
        <v>710</v>
      </c>
      <c r="B187" s="276"/>
      <c r="D187" s="275"/>
      <c r="E187" s="73" t="s">
        <v>386</v>
      </c>
      <c r="F187" s="217">
        <f>IF(D187&gt;0,VLOOKUP(B187,'Table 1. GWPs'!$C$68:$D$89,2,FALSE),0)</f>
        <v>0</v>
      </c>
      <c r="G187" s="73" t="s">
        <v>387</v>
      </c>
      <c r="H187" s="224">
        <f t="shared" si="3"/>
        <v>0</v>
      </c>
      <c r="I187" s="73" t="s">
        <v>387</v>
      </c>
      <c r="J187" s="224">
        <f>H187/'Conversion Factors'!$D$33</f>
        <v>0</v>
      </c>
      <c r="L187" s="518">
        <f t="shared" si="4"/>
        <v>0</v>
      </c>
    </row>
    <row r="188" spans="1:12" ht="12.75" hidden="1">
      <c r="A188" s="221" t="s">
        <v>711</v>
      </c>
      <c r="B188" s="276"/>
      <c r="D188" s="275"/>
      <c r="E188" s="73" t="s">
        <v>386</v>
      </c>
      <c r="F188" s="217">
        <f>IF(D188&gt;0,VLOOKUP(B188,'Table 1. GWPs'!$C$68:$D$89,2,FALSE),0)</f>
        <v>0</v>
      </c>
      <c r="G188" s="73" t="s">
        <v>387</v>
      </c>
      <c r="H188" s="224">
        <f t="shared" si="3"/>
        <v>0</v>
      </c>
      <c r="I188" s="73" t="s">
        <v>387</v>
      </c>
      <c r="J188" s="224">
        <f>H188/'Conversion Factors'!$D$33</f>
        <v>0</v>
      </c>
      <c r="L188" s="518">
        <f t="shared" si="4"/>
        <v>0</v>
      </c>
    </row>
    <row r="189" spans="1:12" ht="12.75" hidden="1">
      <c r="A189" s="221" t="s">
        <v>712</v>
      </c>
      <c r="B189" s="276"/>
      <c r="D189" s="275"/>
      <c r="E189" s="73" t="s">
        <v>386</v>
      </c>
      <c r="F189" s="217">
        <f>IF(D189&gt;0,VLOOKUP(B189,'Table 1. GWPs'!$C$68:$D$89,2,FALSE),0)</f>
        <v>0</v>
      </c>
      <c r="G189" s="73" t="s">
        <v>387</v>
      </c>
      <c r="H189" s="224">
        <f t="shared" si="3"/>
        <v>0</v>
      </c>
      <c r="I189" s="73" t="s">
        <v>387</v>
      </c>
      <c r="J189" s="224">
        <f>H189/'Conversion Factors'!$D$33</f>
        <v>0</v>
      </c>
      <c r="L189" s="518">
        <f t="shared" si="4"/>
        <v>0</v>
      </c>
    </row>
    <row r="190" spans="1:12" ht="12.75" hidden="1">
      <c r="A190" s="221" t="s">
        <v>713</v>
      </c>
      <c r="B190" s="276"/>
      <c r="D190" s="275"/>
      <c r="E190" s="73" t="s">
        <v>386</v>
      </c>
      <c r="F190" s="217">
        <f>IF(D190&gt;0,VLOOKUP(B190,'Table 1. GWPs'!$C$68:$D$89,2,FALSE),0)</f>
        <v>0</v>
      </c>
      <c r="G190" s="73" t="s">
        <v>387</v>
      </c>
      <c r="H190" s="224">
        <f t="shared" si="3"/>
        <v>0</v>
      </c>
      <c r="I190" s="73" t="s">
        <v>387</v>
      </c>
      <c r="J190" s="224">
        <f>H190/'Conversion Factors'!$D$33</f>
        <v>0</v>
      </c>
      <c r="L190" s="518">
        <f t="shared" si="4"/>
        <v>0</v>
      </c>
    </row>
    <row r="191" spans="1:12" ht="12.75" hidden="1">
      <c r="A191" s="221" t="s">
        <v>714</v>
      </c>
      <c r="B191" s="276"/>
      <c r="D191" s="275"/>
      <c r="E191" s="73" t="s">
        <v>386</v>
      </c>
      <c r="F191" s="217">
        <f>IF(D191&gt;0,VLOOKUP(B191,'Table 1. GWPs'!$C$68:$D$89,2,FALSE),0)</f>
        <v>0</v>
      </c>
      <c r="G191" s="73" t="s">
        <v>387</v>
      </c>
      <c r="H191" s="224">
        <f t="shared" si="3"/>
        <v>0</v>
      </c>
      <c r="I191" s="73" t="s">
        <v>387</v>
      </c>
      <c r="J191" s="224">
        <f>H191/'Conversion Factors'!$D$33</f>
        <v>0</v>
      </c>
      <c r="L191" s="518">
        <f t="shared" si="4"/>
        <v>0</v>
      </c>
    </row>
    <row r="192" ht="12.75" hidden="1">
      <c r="B192" s="263"/>
    </row>
    <row r="193" ht="12.75" hidden="1">
      <c r="B193" s="263"/>
    </row>
    <row r="194" spans="2:8" ht="63.75" customHeight="1" hidden="1">
      <c r="B194" s="647" t="s">
        <v>37</v>
      </c>
      <c r="C194" s="647"/>
      <c r="D194" s="647"/>
      <c r="E194" s="647"/>
      <c r="F194" s="647"/>
      <c r="G194" s="647"/>
      <c r="H194" s="647"/>
    </row>
    <row r="195" ht="5.25" customHeight="1" hidden="1">
      <c r="B195" s="263"/>
    </row>
    <row r="196" ht="5.25" customHeight="1" hidden="1">
      <c r="B196" s="263"/>
    </row>
    <row r="197" spans="2:14" ht="27" hidden="1">
      <c r="B197" s="73" t="s">
        <v>13</v>
      </c>
      <c r="D197" s="73" t="s">
        <v>25</v>
      </c>
      <c r="F197" s="73" t="s">
        <v>23</v>
      </c>
      <c r="H197" s="73" t="s">
        <v>26</v>
      </c>
      <c r="J197" s="73" t="s">
        <v>14</v>
      </c>
      <c r="L197" s="67" t="s">
        <v>930</v>
      </c>
      <c r="N197" s="67" t="s">
        <v>34</v>
      </c>
    </row>
    <row r="198" spans="1:16" ht="12.75" hidden="1">
      <c r="A198" s="221" t="s">
        <v>696</v>
      </c>
      <c r="B198" s="276"/>
      <c r="D198" s="577"/>
      <c r="F198" s="275"/>
      <c r="G198" s="73" t="s">
        <v>386</v>
      </c>
      <c r="H198" s="517">
        <f>IF(D198&gt;0,1-D198,0)</f>
        <v>0</v>
      </c>
      <c r="I198" s="73" t="s">
        <v>386</v>
      </c>
      <c r="J198" s="217">
        <f>IF(F198&gt;0,VLOOKUP(B198,'Table 1. GWPs'!$C$68:$D$89,2,FALSE),0)</f>
        <v>0</v>
      </c>
      <c r="K198" s="73" t="s">
        <v>387</v>
      </c>
      <c r="L198" s="224">
        <f>F198*J198*H198</f>
        <v>0</v>
      </c>
      <c r="M198" s="73" t="s">
        <v>387</v>
      </c>
      <c r="N198" s="224">
        <f>L198/'Conversion Factors'!$D$33</f>
        <v>0</v>
      </c>
      <c r="P198" s="518">
        <f>IF(B198="CO2",N198,0)</f>
        <v>0</v>
      </c>
    </row>
    <row r="199" spans="1:16" ht="12.75" hidden="1">
      <c r="A199" s="221" t="s">
        <v>697</v>
      </c>
      <c r="B199" s="276"/>
      <c r="D199" s="577"/>
      <c r="F199" s="275"/>
      <c r="G199" s="73" t="s">
        <v>386</v>
      </c>
      <c r="H199" s="517">
        <f aca="true" t="shared" si="5" ref="H199:H207">IF(D199&gt;0,1-D199,0)</f>
        <v>0</v>
      </c>
      <c r="I199" s="73" t="s">
        <v>386</v>
      </c>
      <c r="J199" s="217">
        <f>IF(F199&gt;0,VLOOKUP(B199,'Table 1. GWPs'!$C$68:$D$89,2,FALSE),0)</f>
        <v>0</v>
      </c>
      <c r="K199" s="73" t="s">
        <v>387</v>
      </c>
      <c r="L199" s="224">
        <f aca="true" t="shared" si="6" ref="L199:L207">F199*J199*H199</f>
        <v>0</v>
      </c>
      <c r="M199" s="73" t="s">
        <v>387</v>
      </c>
      <c r="N199" s="224">
        <f>L199/'Conversion Factors'!$D$33</f>
        <v>0</v>
      </c>
      <c r="P199" s="518">
        <f aca="true" t="shared" si="7" ref="P199:P207">IF(B199="CO2",N199,0)</f>
        <v>0</v>
      </c>
    </row>
    <row r="200" spans="1:16" ht="12.75" hidden="1">
      <c r="A200" s="221" t="s">
        <v>698</v>
      </c>
      <c r="B200" s="276"/>
      <c r="D200" s="577"/>
      <c r="F200" s="275"/>
      <c r="G200" s="73" t="s">
        <v>386</v>
      </c>
      <c r="H200" s="517">
        <f t="shared" si="5"/>
        <v>0</v>
      </c>
      <c r="I200" s="73" t="s">
        <v>386</v>
      </c>
      <c r="J200" s="217">
        <f>IF(F200&gt;0,VLOOKUP(B200,'Table 1. GWPs'!$C$68:$D$89,2,FALSE),0)</f>
        <v>0</v>
      </c>
      <c r="K200" s="73" t="s">
        <v>387</v>
      </c>
      <c r="L200" s="224">
        <f t="shared" si="6"/>
        <v>0</v>
      </c>
      <c r="M200" s="73" t="s">
        <v>387</v>
      </c>
      <c r="N200" s="224">
        <f>L200/'Conversion Factors'!$D$33</f>
        <v>0</v>
      </c>
      <c r="P200" s="518">
        <f t="shared" si="7"/>
        <v>0</v>
      </c>
    </row>
    <row r="201" spans="1:16" ht="12.75" hidden="1">
      <c r="A201" s="221" t="s">
        <v>699</v>
      </c>
      <c r="B201" s="276"/>
      <c r="D201" s="577"/>
      <c r="F201" s="275"/>
      <c r="G201" s="73" t="s">
        <v>386</v>
      </c>
      <c r="H201" s="517">
        <f t="shared" si="5"/>
        <v>0</v>
      </c>
      <c r="I201" s="73" t="s">
        <v>386</v>
      </c>
      <c r="J201" s="217">
        <f>IF(F201&gt;0,VLOOKUP(B201,'Table 1. GWPs'!$C$68:$D$89,2,FALSE),0)</f>
        <v>0</v>
      </c>
      <c r="K201" s="73" t="s">
        <v>387</v>
      </c>
      <c r="L201" s="224">
        <f t="shared" si="6"/>
        <v>0</v>
      </c>
      <c r="M201" s="73" t="s">
        <v>387</v>
      </c>
      <c r="N201" s="224">
        <f>L201/'Conversion Factors'!$D$33</f>
        <v>0</v>
      </c>
      <c r="P201" s="518">
        <f t="shared" si="7"/>
        <v>0</v>
      </c>
    </row>
    <row r="202" spans="1:16" ht="12.75" hidden="1">
      <c r="A202" s="221" t="s">
        <v>700</v>
      </c>
      <c r="B202" s="276"/>
      <c r="D202" s="577"/>
      <c r="F202" s="275"/>
      <c r="G202" s="73" t="s">
        <v>386</v>
      </c>
      <c r="H202" s="517">
        <f t="shared" si="5"/>
        <v>0</v>
      </c>
      <c r="I202" s="73" t="s">
        <v>386</v>
      </c>
      <c r="J202" s="217">
        <f>IF(F202&gt;0,VLOOKUP(B202,'Table 1. GWPs'!$C$68:$D$89,2,FALSE),0)</f>
        <v>0</v>
      </c>
      <c r="K202" s="73" t="s">
        <v>387</v>
      </c>
      <c r="L202" s="224">
        <f t="shared" si="6"/>
        <v>0</v>
      </c>
      <c r="M202" s="73" t="s">
        <v>387</v>
      </c>
      <c r="N202" s="224">
        <f>L202/'Conversion Factors'!$D$33</f>
        <v>0</v>
      </c>
      <c r="P202" s="518">
        <f t="shared" si="7"/>
        <v>0</v>
      </c>
    </row>
    <row r="203" spans="1:16" ht="12.75" hidden="1">
      <c r="A203" s="221" t="s">
        <v>710</v>
      </c>
      <c r="B203" s="276"/>
      <c r="D203" s="577"/>
      <c r="F203" s="275"/>
      <c r="G203" s="73" t="s">
        <v>386</v>
      </c>
      <c r="H203" s="517">
        <f t="shared" si="5"/>
        <v>0</v>
      </c>
      <c r="I203" s="73" t="s">
        <v>386</v>
      </c>
      <c r="J203" s="217">
        <f>IF(F203&gt;0,VLOOKUP(B203,'Table 1. GWPs'!$C$68:$D$89,2,FALSE),0)</f>
        <v>0</v>
      </c>
      <c r="K203" s="73" t="s">
        <v>387</v>
      </c>
      <c r="L203" s="224">
        <f t="shared" si="6"/>
        <v>0</v>
      </c>
      <c r="M203" s="73" t="s">
        <v>387</v>
      </c>
      <c r="N203" s="224">
        <f>L203/'Conversion Factors'!$D$33</f>
        <v>0</v>
      </c>
      <c r="P203" s="518">
        <f t="shared" si="7"/>
        <v>0</v>
      </c>
    </row>
    <row r="204" spans="1:16" ht="12.75" hidden="1">
      <c r="A204" s="221" t="s">
        <v>711</v>
      </c>
      <c r="B204" s="276"/>
      <c r="D204" s="577"/>
      <c r="F204" s="275"/>
      <c r="G204" s="73" t="s">
        <v>386</v>
      </c>
      <c r="H204" s="517">
        <f t="shared" si="5"/>
        <v>0</v>
      </c>
      <c r="I204" s="73" t="s">
        <v>386</v>
      </c>
      <c r="J204" s="217">
        <f>IF(F204&gt;0,VLOOKUP(B204,'Table 1. GWPs'!$C$68:$D$89,2,FALSE),0)</f>
        <v>0</v>
      </c>
      <c r="K204" s="73" t="s">
        <v>387</v>
      </c>
      <c r="L204" s="224">
        <f t="shared" si="6"/>
        <v>0</v>
      </c>
      <c r="M204" s="73" t="s">
        <v>387</v>
      </c>
      <c r="N204" s="224">
        <f>L204/'Conversion Factors'!$D$33</f>
        <v>0</v>
      </c>
      <c r="P204" s="518">
        <f t="shared" si="7"/>
        <v>0</v>
      </c>
    </row>
    <row r="205" spans="1:16" ht="12.75" hidden="1">
      <c r="A205" s="221" t="s">
        <v>712</v>
      </c>
      <c r="B205" s="276"/>
      <c r="D205" s="577"/>
      <c r="F205" s="275"/>
      <c r="G205" s="73" t="s">
        <v>386</v>
      </c>
      <c r="H205" s="517">
        <f t="shared" si="5"/>
        <v>0</v>
      </c>
      <c r="I205" s="73" t="s">
        <v>386</v>
      </c>
      <c r="J205" s="217">
        <f>IF(F205&gt;0,VLOOKUP(B205,'Table 1. GWPs'!$C$68:$D$89,2,FALSE),0)</f>
        <v>0</v>
      </c>
      <c r="K205" s="73" t="s">
        <v>387</v>
      </c>
      <c r="L205" s="224">
        <f t="shared" si="6"/>
        <v>0</v>
      </c>
      <c r="M205" s="73" t="s">
        <v>387</v>
      </c>
      <c r="N205" s="224">
        <f>L205/'Conversion Factors'!$D$33</f>
        <v>0</v>
      </c>
      <c r="P205" s="518">
        <f t="shared" si="7"/>
        <v>0</v>
      </c>
    </row>
    <row r="206" spans="1:16" ht="12.75" hidden="1">
      <c r="A206" s="221" t="s">
        <v>713</v>
      </c>
      <c r="B206" s="276"/>
      <c r="D206" s="577"/>
      <c r="F206" s="275"/>
      <c r="G206" s="73" t="s">
        <v>386</v>
      </c>
      <c r="H206" s="517">
        <f t="shared" si="5"/>
        <v>0</v>
      </c>
      <c r="I206" s="73" t="s">
        <v>386</v>
      </c>
      <c r="J206" s="217">
        <f>IF(F206&gt;0,VLOOKUP(B206,'Table 1. GWPs'!$C$68:$D$89,2,FALSE),0)</f>
        <v>0</v>
      </c>
      <c r="K206" s="73" t="s">
        <v>387</v>
      </c>
      <c r="L206" s="224">
        <f t="shared" si="6"/>
        <v>0</v>
      </c>
      <c r="M206" s="73" t="s">
        <v>387</v>
      </c>
      <c r="N206" s="224">
        <f>L206/'Conversion Factors'!$D$33</f>
        <v>0</v>
      </c>
      <c r="P206" s="518">
        <f t="shared" si="7"/>
        <v>0</v>
      </c>
    </row>
    <row r="207" spans="1:16" ht="12.75" hidden="1">
      <c r="A207" s="221" t="s">
        <v>714</v>
      </c>
      <c r="B207" s="276"/>
      <c r="D207" s="577"/>
      <c r="F207" s="275"/>
      <c r="G207" s="73" t="s">
        <v>386</v>
      </c>
      <c r="H207" s="517">
        <f t="shared" si="5"/>
        <v>0</v>
      </c>
      <c r="I207" s="73" t="s">
        <v>386</v>
      </c>
      <c r="J207" s="217">
        <f>IF(F207&gt;0,VLOOKUP(B207,'Table 1. GWPs'!$C$68:$D$89,2,FALSE),0)</f>
        <v>0</v>
      </c>
      <c r="K207" s="73" t="s">
        <v>387</v>
      </c>
      <c r="L207" s="224">
        <f t="shared" si="6"/>
        <v>0</v>
      </c>
      <c r="M207" s="73" t="s">
        <v>387</v>
      </c>
      <c r="N207" s="224">
        <f>L207/'Conversion Factors'!$D$33</f>
        <v>0</v>
      </c>
      <c r="P207" s="518">
        <f t="shared" si="7"/>
        <v>0</v>
      </c>
    </row>
    <row r="208" ht="12.75" hidden="1">
      <c r="B208" s="263"/>
    </row>
    <row r="209" spans="2:8" ht="43.5" customHeight="1" hidden="1">
      <c r="B209" s="647" t="s">
        <v>46</v>
      </c>
      <c r="C209" s="647"/>
      <c r="D209" s="647"/>
      <c r="E209" s="647"/>
      <c r="F209" s="647"/>
      <c r="G209" s="647"/>
      <c r="H209" s="647"/>
    </row>
    <row r="210" ht="19.5" customHeight="1" hidden="1">
      <c r="B210" s="220" t="s">
        <v>694</v>
      </c>
    </row>
    <row r="211" spans="2:12" ht="40.5" customHeight="1" hidden="1">
      <c r="B211" s="273" t="s">
        <v>42</v>
      </c>
      <c r="D211" s="73" t="s">
        <v>45</v>
      </c>
      <c r="F211" s="67" t="s">
        <v>43</v>
      </c>
      <c r="H211" s="73" t="s">
        <v>44</v>
      </c>
      <c r="J211" s="67" t="s">
        <v>687</v>
      </c>
      <c r="L211" s="67" t="s">
        <v>34</v>
      </c>
    </row>
    <row r="212" spans="1:12" ht="12.75" hidden="1">
      <c r="A212" s="221" t="s">
        <v>696</v>
      </c>
      <c r="B212" s="279"/>
      <c r="C212" s="73" t="s">
        <v>386</v>
      </c>
      <c r="D212" s="577"/>
      <c r="E212" s="73" t="s">
        <v>386</v>
      </c>
      <c r="F212" s="218">
        <f>IF(B212&gt;0,'Acetylene Calcs'!$I$17,0)</f>
        <v>0</v>
      </c>
      <c r="G212" s="73" t="s">
        <v>386</v>
      </c>
      <c r="H212" s="519">
        <f>0.4536</f>
        <v>0.4536</v>
      </c>
      <c r="I212" s="73" t="s">
        <v>387</v>
      </c>
      <c r="J212" s="224">
        <f>B212*(1-D212)*F212*H212</f>
        <v>0</v>
      </c>
      <c r="K212" s="73" t="s">
        <v>387</v>
      </c>
      <c r="L212" s="224">
        <f>J212/'Conversion Factors'!$D$33</f>
        <v>0</v>
      </c>
    </row>
    <row r="213" spans="1:12" ht="12.75" hidden="1">
      <c r="A213" s="221" t="s">
        <v>697</v>
      </c>
      <c r="B213" s="279"/>
      <c r="C213" s="73" t="s">
        <v>386</v>
      </c>
      <c r="D213" s="577"/>
      <c r="E213" s="73" t="s">
        <v>386</v>
      </c>
      <c r="F213" s="218">
        <f>IF(B213&gt;0,'Acetylene Calcs'!$I$17,0)</f>
        <v>0</v>
      </c>
      <c r="G213" s="73" t="s">
        <v>386</v>
      </c>
      <c r="H213" s="519">
        <f>0.4536</f>
        <v>0.4536</v>
      </c>
      <c r="I213" s="73" t="s">
        <v>387</v>
      </c>
      <c r="J213" s="224">
        <f>B213*(1-D213)*F213*H213</f>
        <v>0</v>
      </c>
      <c r="K213" s="73" t="s">
        <v>387</v>
      </c>
      <c r="L213" s="224">
        <f>J213/'Conversion Factors'!$D$33</f>
        <v>0</v>
      </c>
    </row>
    <row r="214" spans="1:12" ht="12.75" hidden="1">
      <c r="A214" s="221" t="s">
        <v>698</v>
      </c>
      <c r="B214" s="279"/>
      <c r="C214" s="73" t="s">
        <v>386</v>
      </c>
      <c r="D214" s="577"/>
      <c r="E214" s="73" t="s">
        <v>386</v>
      </c>
      <c r="F214" s="218">
        <f>IF(B214&gt;0,'Acetylene Calcs'!$I$17,0)</f>
        <v>0</v>
      </c>
      <c r="G214" s="73" t="s">
        <v>386</v>
      </c>
      <c r="H214" s="519">
        <f>0.4536</f>
        <v>0.4536</v>
      </c>
      <c r="I214" s="73" t="s">
        <v>387</v>
      </c>
      <c r="J214" s="224">
        <f>B214*(1-D214)*F214*H214</f>
        <v>0</v>
      </c>
      <c r="K214" s="73" t="s">
        <v>387</v>
      </c>
      <c r="L214" s="224">
        <f>J214/'Conversion Factors'!$D$33</f>
        <v>0</v>
      </c>
    </row>
    <row r="215" spans="1:12" ht="12.75" hidden="1">
      <c r="A215" s="221" t="s">
        <v>699</v>
      </c>
      <c r="B215" s="279"/>
      <c r="C215" s="73" t="s">
        <v>386</v>
      </c>
      <c r="D215" s="577"/>
      <c r="E215" s="73" t="s">
        <v>386</v>
      </c>
      <c r="F215" s="218">
        <f>IF(B215&gt;0,'Acetylene Calcs'!$I$17,0)</f>
        <v>0</v>
      </c>
      <c r="G215" s="73" t="s">
        <v>386</v>
      </c>
      <c r="H215" s="519">
        <f>0.4536</f>
        <v>0.4536</v>
      </c>
      <c r="I215" s="73" t="s">
        <v>387</v>
      </c>
      <c r="J215" s="224">
        <f>B215*(1-D215)*F215*H215</f>
        <v>0</v>
      </c>
      <c r="K215" s="73" t="s">
        <v>387</v>
      </c>
      <c r="L215" s="224">
        <f>J215/'Conversion Factors'!$D$33</f>
        <v>0</v>
      </c>
    </row>
    <row r="216" spans="1:12" ht="12.75" hidden="1">
      <c r="A216" s="221" t="s">
        <v>700</v>
      </c>
      <c r="B216" s="279"/>
      <c r="C216" s="73" t="s">
        <v>386</v>
      </c>
      <c r="D216" s="577"/>
      <c r="E216" s="73" t="s">
        <v>386</v>
      </c>
      <c r="F216" s="218">
        <f>IF(B216&gt;0,'Acetylene Calcs'!$I$17,0)</f>
        <v>0</v>
      </c>
      <c r="G216" s="73" t="s">
        <v>386</v>
      </c>
      <c r="H216" s="519">
        <f>0.4536</f>
        <v>0.4536</v>
      </c>
      <c r="I216" s="73" t="s">
        <v>387</v>
      </c>
      <c r="J216" s="224">
        <f>B216*(1-D216)*F216*H216</f>
        <v>0</v>
      </c>
      <c r="K216" s="73" t="s">
        <v>387</v>
      </c>
      <c r="L216" s="224">
        <f>J216/'Conversion Factors'!$D$33</f>
        <v>0</v>
      </c>
    </row>
    <row r="217" spans="5:6" ht="12.75" hidden="1">
      <c r="E217" s="211"/>
      <c r="F217" s="268"/>
    </row>
    <row r="218" spans="5:6" ht="6" customHeight="1" hidden="1">
      <c r="E218" s="211"/>
      <c r="F218" s="268"/>
    </row>
    <row r="219" spans="2:9" ht="38.25" customHeight="1" hidden="1">
      <c r="B219" s="647" t="s">
        <v>48</v>
      </c>
      <c r="C219" s="647"/>
      <c r="D219" s="647"/>
      <c r="E219" s="647"/>
      <c r="F219" s="647"/>
      <c r="G219" s="647"/>
      <c r="H219" s="647"/>
      <c r="I219" s="647"/>
    </row>
    <row r="220" ht="18.75" customHeight="1" hidden="1">
      <c r="B220" s="220" t="s">
        <v>694</v>
      </c>
    </row>
    <row r="221" spans="2:10" ht="14.25" hidden="1">
      <c r="B221" s="273" t="s">
        <v>47</v>
      </c>
      <c r="D221" s="73" t="s">
        <v>45</v>
      </c>
      <c r="F221" s="67" t="s">
        <v>44</v>
      </c>
      <c r="H221" s="67" t="s">
        <v>687</v>
      </c>
      <c r="J221" s="67" t="s">
        <v>693</v>
      </c>
    </row>
    <row r="222" spans="1:10" ht="12.75" hidden="1">
      <c r="A222" s="221" t="s">
        <v>696</v>
      </c>
      <c r="B222" s="279"/>
      <c r="C222" s="73" t="s">
        <v>386</v>
      </c>
      <c r="D222" s="577"/>
      <c r="E222" s="73" t="s">
        <v>386</v>
      </c>
      <c r="F222" s="218">
        <f>0.4536</f>
        <v>0.4536</v>
      </c>
      <c r="G222" s="73" t="s">
        <v>387</v>
      </c>
      <c r="H222" s="224">
        <f>B222*F222*(1-D222)</f>
        <v>0</v>
      </c>
      <c r="I222" s="73" t="s">
        <v>387</v>
      </c>
      <c r="J222" s="224">
        <f>H222/'Conversion Factors'!$D$33</f>
        <v>0</v>
      </c>
    </row>
    <row r="223" spans="1:10" ht="12.75" hidden="1">
      <c r="A223" s="221" t="s">
        <v>697</v>
      </c>
      <c r="B223" s="279"/>
      <c r="C223" s="73" t="s">
        <v>386</v>
      </c>
      <c r="D223" s="577"/>
      <c r="E223" s="73" t="s">
        <v>386</v>
      </c>
      <c r="F223" s="218">
        <f>0.4536</f>
        <v>0.4536</v>
      </c>
      <c r="G223" s="73" t="s">
        <v>387</v>
      </c>
      <c r="H223" s="224">
        <f>B223*F223*(1-D223)</f>
        <v>0</v>
      </c>
      <c r="I223" s="73" t="s">
        <v>387</v>
      </c>
      <c r="J223" s="224">
        <f>H223/'Conversion Factors'!$D$33</f>
        <v>0</v>
      </c>
    </row>
    <row r="224" spans="1:10" ht="12.75" hidden="1">
      <c r="A224" s="221" t="s">
        <v>698</v>
      </c>
      <c r="B224" s="279"/>
      <c r="C224" s="73" t="s">
        <v>386</v>
      </c>
      <c r="D224" s="577"/>
      <c r="E224" s="73" t="s">
        <v>386</v>
      </c>
      <c r="F224" s="218">
        <f>0.4536</f>
        <v>0.4536</v>
      </c>
      <c r="G224" s="73" t="s">
        <v>387</v>
      </c>
      <c r="H224" s="224">
        <f>B224*F224*(1-D224)</f>
        <v>0</v>
      </c>
      <c r="I224" s="73" t="s">
        <v>387</v>
      </c>
      <c r="J224" s="224">
        <f>H224/'Conversion Factors'!$D$33</f>
        <v>0</v>
      </c>
    </row>
    <row r="225" spans="1:10" ht="12.75" hidden="1">
      <c r="A225" s="221" t="s">
        <v>699</v>
      </c>
      <c r="B225" s="279"/>
      <c r="C225" s="73" t="s">
        <v>386</v>
      </c>
      <c r="D225" s="577"/>
      <c r="E225" s="73" t="s">
        <v>386</v>
      </c>
      <c r="F225" s="218">
        <f>0.4536</f>
        <v>0.4536</v>
      </c>
      <c r="G225" s="73" t="s">
        <v>387</v>
      </c>
      <c r="H225" s="224">
        <f>B225*F225*(1-D225)</f>
        <v>0</v>
      </c>
      <c r="I225" s="73" t="s">
        <v>387</v>
      </c>
      <c r="J225" s="224">
        <f>H225/'Conversion Factors'!$D$33</f>
        <v>0</v>
      </c>
    </row>
    <row r="226" spans="1:10" ht="12.75" hidden="1">
      <c r="A226" s="221" t="s">
        <v>700</v>
      </c>
      <c r="B226" s="279"/>
      <c r="C226" s="73" t="s">
        <v>386</v>
      </c>
      <c r="D226" s="577"/>
      <c r="E226" s="73" t="s">
        <v>386</v>
      </c>
      <c r="F226" s="218">
        <f>0.4536</f>
        <v>0.4536</v>
      </c>
      <c r="G226" s="73" t="s">
        <v>387</v>
      </c>
      <c r="H226" s="224">
        <f>B226*F226*(1-D226)</f>
        <v>0</v>
      </c>
      <c r="I226" s="73" t="s">
        <v>387</v>
      </c>
      <c r="J226" s="224">
        <f>H226/'Conversion Factors'!$D$33</f>
        <v>0</v>
      </c>
    </row>
    <row r="227" spans="5:6" ht="13.5" hidden="1" thickBot="1">
      <c r="E227" s="211"/>
      <c r="F227" s="268"/>
    </row>
    <row r="228" spans="2:40" s="530" customFormat="1" ht="35.25" customHeight="1" thickBot="1" thickTop="1">
      <c r="B228" s="532" t="s">
        <v>969</v>
      </c>
      <c r="AA228" s="529"/>
      <c r="AB228" s="529"/>
      <c r="AD228" s="529"/>
      <c r="AN228" s="531"/>
    </row>
    <row r="229" ht="20.25" customHeight="1" hidden="1" thickTop="1">
      <c r="B229" s="207" t="s">
        <v>39</v>
      </c>
    </row>
    <row r="230" ht="12.75" hidden="1">
      <c r="B230" s="66" t="s">
        <v>970</v>
      </c>
    </row>
    <row r="231" ht="12.75" hidden="1"/>
    <row r="232" spans="4:10" ht="12.75" hidden="1">
      <c r="D232" s="653" t="s">
        <v>971</v>
      </c>
      <c r="E232" s="653"/>
      <c r="F232" s="653"/>
      <c r="G232" s="653"/>
      <c r="H232" s="653"/>
      <c r="I232" s="653"/>
      <c r="J232" s="653"/>
    </row>
    <row r="233" spans="4:10" ht="14.25" hidden="1">
      <c r="D233" s="652" t="s">
        <v>972</v>
      </c>
      <c r="E233" s="652"/>
      <c r="F233" s="652"/>
      <c r="G233" s="652"/>
      <c r="H233" s="652"/>
      <c r="I233" s="652"/>
      <c r="J233" s="652"/>
    </row>
    <row r="234" spans="2:12" ht="14.25" hidden="1">
      <c r="B234" s="214" t="s">
        <v>167</v>
      </c>
      <c r="D234" s="73" t="s">
        <v>973</v>
      </c>
      <c r="E234" s="73"/>
      <c r="F234" s="73" t="s">
        <v>974</v>
      </c>
      <c r="G234" s="73"/>
      <c r="H234" s="73" t="s">
        <v>975</v>
      </c>
      <c r="J234" s="73" t="s">
        <v>1044</v>
      </c>
      <c r="L234" s="73" t="s">
        <v>270</v>
      </c>
    </row>
    <row r="235" spans="1:12" ht="12.75" hidden="1">
      <c r="A235" s="221" t="s">
        <v>696</v>
      </c>
      <c r="B235" s="275"/>
      <c r="D235" s="276"/>
      <c r="F235" s="276"/>
      <c r="H235" s="276"/>
      <c r="J235" s="276"/>
      <c r="L235" s="224">
        <f>SUM(D235,F235,H235,J235)</f>
        <v>0</v>
      </c>
    </row>
    <row r="236" spans="1:12" ht="12.75" hidden="1">
      <c r="A236" s="221" t="s">
        <v>697</v>
      </c>
      <c r="B236" s="275"/>
      <c r="D236" s="276"/>
      <c r="F236" s="276"/>
      <c r="H236" s="276"/>
      <c r="J236" s="276"/>
      <c r="L236" s="224">
        <f aca="true" t="shared" si="8" ref="L236:L244">SUM(D236,F236,H236,J236)</f>
        <v>0</v>
      </c>
    </row>
    <row r="237" spans="1:12" ht="12.75" hidden="1">
      <c r="A237" s="221" t="s">
        <v>698</v>
      </c>
      <c r="B237" s="275"/>
      <c r="D237" s="276"/>
      <c r="F237" s="276"/>
      <c r="H237" s="276"/>
      <c r="J237" s="276"/>
      <c r="L237" s="224">
        <f t="shared" si="8"/>
        <v>0</v>
      </c>
    </row>
    <row r="238" spans="1:12" ht="12.75" hidden="1">
      <c r="A238" s="221" t="s">
        <v>699</v>
      </c>
      <c r="B238" s="275"/>
      <c r="D238" s="276"/>
      <c r="F238" s="276"/>
      <c r="H238" s="276"/>
      <c r="J238" s="276"/>
      <c r="L238" s="224">
        <f t="shared" si="8"/>
        <v>0</v>
      </c>
    </row>
    <row r="239" spans="1:12" ht="12.75" hidden="1">
      <c r="A239" s="221" t="s">
        <v>700</v>
      </c>
      <c r="B239" s="275"/>
      <c r="D239" s="276"/>
      <c r="F239" s="276"/>
      <c r="H239" s="276"/>
      <c r="J239" s="276"/>
      <c r="L239" s="224">
        <f t="shared" si="8"/>
        <v>0</v>
      </c>
    </row>
    <row r="240" spans="1:12" ht="12.75" hidden="1">
      <c r="A240" s="221" t="s">
        <v>710</v>
      </c>
      <c r="B240" s="275"/>
      <c r="D240" s="276"/>
      <c r="F240" s="276"/>
      <c r="H240" s="276"/>
      <c r="J240" s="276"/>
      <c r="L240" s="224">
        <f t="shared" si="8"/>
        <v>0</v>
      </c>
    </row>
    <row r="241" spans="1:12" ht="12.75" hidden="1">
      <c r="A241" s="221" t="s">
        <v>711</v>
      </c>
      <c r="B241" s="275"/>
      <c r="D241" s="276"/>
      <c r="F241" s="276"/>
      <c r="H241" s="276"/>
      <c r="J241" s="276"/>
      <c r="L241" s="224">
        <f t="shared" si="8"/>
        <v>0</v>
      </c>
    </row>
    <row r="242" spans="1:12" ht="12.75" hidden="1">
      <c r="A242" s="221" t="s">
        <v>712</v>
      </c>
      <c r="B242" s="275"/>
      <c r="D242" s="276"/>
      <c r="F242" s="276"/>
      <c r="H242" s="276"/>
      <c r="J242" s="276"/>
      <c r="L242" s="224">
        <f t="shared" si="8"/>
        <v>0</v>
      </c>
    </row>
    <row r="243" spans="1:12" ht="12.75" hidden="1">
      <c r="A243" s="221" t="s">
        <v>713</v>
      </c>
      <c r="B243" s="275"/>
      <c r="D243" s="276"/>
      <c r="F243" s="276"/>
      <c r="H243" s="276"/>
      <c r="J243" s="276"/>
      <c r="L243" s="224">
        <f t="shared" si="8"/>
        <v>0</v>
      </c>
    </row>
    <row r="244" spans="1:12" ht="12.75" hidden="1">
      <c r="A244" s="221" t="s">
        <v>714</v>
      </c>
      <c r="B244" s="275"/>
      <c r="D244" s="276"/>
      <c r="F244" s="276"/>
      <c r="H244" s="276"/>
      <c r="J244" s="276"/>
      <c r="L244" s="224">
        <f t="shared" si="8"/>
        <v>0</v>
      </c>
    </row>
    <row r="245" ht="13.5" thickTop="1"/>
  </sheetData>
  <sheetProtection/>
  <mergeCells count="93">
    <mergeCell ref="P153:P154"/>
    <mergeCell ref="R153:R154"/>
    <mergeCell ref="T153:T154"/>
    <mergeCell ref="P145:P146"/>
    <mergeCell ref="H153:H154"/>
    <mergeCell ref="J153:J154"/>
    <mergeCell ref="L153:L154"/>
    <mergeCell ref="N153:N154"/>
    <mergeCell ref="N145:N146"/>
    <mergeCell ref="J145:J146"/>
    <mergeCell ref="H145:H146"/>
    <mergeCell ref="P128:P129"/>
    <mergeCell ref="N128:N129"/>
    <mergeCell ref="L128:L129"/>
    <mergeCell ref="J128:J129"/>
    <mergeCell ref="N136:N137"/>
    <mergeCell ref="P136:P137"/>
    <mergeCell ref="R136:R137"/>
    <mergeCell ref="T136:T137"/>
    <mergeCell ref="F111:F112"/>
    <mergeCell ref="H136:H137"/>
    <mergeCell ref="J136:J137"/>
    <mergeCell ref="L136:L137"/>
    <mergeCell ref="H128:H129"/>
    <mergeCell ref="R111:R112"/>
    <mergeCell ref="P111:P112"/>
    <mergeCell ref="L111:L112"/>
    <mergeCell ref="T119:T120"/>
    <mergeCell ref="R94:R95"/>
    <mergeCell ref="H119:H120"/>
    <mergeCell ref="J119:J120"/>
    <mergeCell ref="L119:L120"/>
    <mergeCell ref="N119:N120"/>
    <mergeCell ref="J111:J112"/>
    <mergeCell ref="T102:T103"/>
    <mergeCell ref="R102:R103"/>
    <mergeCell ref="P102:P103"/>
    <mergeCell ref="L102:L103"/>
    <mergeCell ref="N102:N103"/>
    <mergeCell ref="P119:P120"/>
    <mergeCell ref="R119:R120"/>
    <mergeCell ref="A1:E1"/>
    <mergeCell ref="D233:J233"/>
    <mergeCell ref="D232:J232"/>
    <mergeCell ref="B58:I58"/>
    <mergeCell ref="B74:H74"/>
    <mergeCell ref="B3:H3"/>
    <mergeCell ref="B7:H7"/>
    <mergeCell ref="B14:H14"/>
    <mergeCell ref="F20:F22"/>
    <mergeCell ref="H20:H22"/>
    <mergeCell ref="F38:F39"/>
    <mergeCell ref="H38:H39"/>
    <mergeCell ref="F47:F48"/>
    <mergeCell ref="H47:H48"/>
    <mergeCell ref="N59:N60"/>
    <mergeCell ref="F62:F63"/>
    <mergeCell ref="H62:H63"/>
    <mergeCell ref="J62:J63"/>
    <mergeCell ref="L62:L63"/>
    <mergeCell ref="N62:N63"/>
    <mergeCell ref="F59:F60"/>
    <mergeCell ref="H59:H60"/>
    <mergeCell ref="J59:J60"/>
    <mergeCell ref="L59:L60"/>
    <mergeCell ref="X62:X63"/>
    <mergeCell ref="H77:H78"/>
    <mergeCell ref="J77:J78"/>
    <mergeCell ref="N77:N78"/>
    <mergeCell ref="P77:P78"/>
    <mergeCell ref="P62:P63"/>
    <mergeCell ref="R62:R63"/>
    <mergeCell ref="T62:T63"/>
    <mergeCell ref="V62:V63"/>
    <mergeCell ref="T85:T86"/>
    <mergeCell ref="H85:H86"/>
    <mergeCell ref="J85:J86"/>
    <mergeCell ref="L85:L86"/>
    <mergeCell ref="N85:N86"/>
    <mergeCell ref="B164:H164"/>
    <mergeCell ref="B166:H166"/>
    <mergeCell ref="P85:P86"/>
    <mergeCell ref="R85:R86"/>
    <mergeCell ref="F94:F95"/>
    <mergeCell ref="J94:J95"/>
    <mergeCell ref="L94:L95"/>
    <mergeCell ref="P94:P95"/>
    <mergeCell ref="H102:H103"/>
    <mergeCell ref="J102:J103"/>
    <mergeCell ref="B209:H209"/>
    <mergeCell ref="B219:I219"/>
    <mergeCell ref="B194:H194"/>
    <mergeCell ref="B178:H178"/>
  </mergeCells>
  <dataValidations count="18">
    <dataValidation type="list" allowBlank="1" showInputMessage="1" showErrorMessage="1" sqref="B168:B174">
      <formula1>$AQ$1:$AQ$9</formula1>
    </dataValidation>
    <dataValidation type="list" allowBlank="1" showInputMessage="1" showErrorMessage="1" sqref="B79:B83">
      <formula1>$AA$1:$AA$8</formula1>
    </dataValidation>
    <dataValidation type="list" allowBlank="1" showInputMessage="1" showErrorMessage="1" sqref="B147:B151">
      <formula1>$AI$1:$AI$8</formula1>
    </dataValidation>
    <dataValidation type="list" allowBlank="1" showInputMessage="1" showErrorMessage="1" sqref="D79:D83">
      <formula1>$AB$1:$AB$4</formula1>
    </dataValidation>
    <dataValidation type="list" allowBlank="1" showInputMessage="1" showErrorMessage="1" sqref="D96:D100">
      <formula1>$AF$1:$AF$4</formula1>
    </dataValidation>
    <dataValidation type="list" allowBlank="1" showInputMessage="1" showErrorMessage="1" sqref="B130:B134">
      <formula1>$AG$1:$AG$5</formula1>
    </dataValidation>
    <dataValidation type="list" allowBlank="1" showInputMessage="1" showErrorMessage="1" sqref="B113:B117">
      <formula1>$AC$1:$AC$10</formula1>
    </dataValidation>
    <dataValidation type="list" allowBlank="1" showInputMessage="1" showErrorMessage="1" sqref="B96:B100">
      <formula1>$AE$1:$AE$17</formula1>
    </dataValidation>
    <dataValidation allowBlank="1" showInputMessage="1" showErrorMessage="1" prompt="If you have an emission factor other than the default provided, please enter the emission factor in this cell for an alternate emission factor." sqref="H68"/>
    <dataValidation allowBlank="1" showInputMessage="1" showErrorMessage="1" prompt="If you have an emission factor other than the default provided, please enter the emission factor in this cell." sqref="H61 J64 L64 J71 L71"/>
    <dataValidation type="list" allowBlank="1" showInputMessage="1" showErrorMessage="1" sqref="B61 B68">
      <formula1>$AK$1:$AK$59</formula1>
    </dataValidation>
    <dataValidation type="list" allowBlank="1" showInputMessage="1" showErrorMessage="1" sqref="B23:B27">
      <formula1>$AN$1:$AN$4</formula1>
    </dataValidation>
    <dataValidation type="list" allowBlank="1" showInputMessage="1" showErrorMessage="1" sqref="B40:B44">
      <formula1>$AO$1:$AO$3</formula1>
    </dataValidation>
    <dataValidation type="list" allowBlank="1" showInputMessage="1" showErrorMessage="1" sqref="B49:B53">
      <formula1>$AP$1:$AP$4</formula1>
    </dataValidation>
    <dataValidation type="list" allowBlank="1" showInputMessage="1" showErrorMessage="1" sqref="B31:B35">
      <formula1>AltFuels</formula1>
    </dataValidation>
    <dataValidation allowBlank="1" showInputMessage="1" showErrorMessage="1" prompt="Please note that the input value should be gallons of fuel, not gallons of gasoline equivalent.&#10;" sqref="D31:D35"/>
    <dataValidation type="list" allowBlank="1" showInputMessage="1" showErrorMessage="1" sqref="B182:B191 B198:B207">
      <formula1>Leaks</formula1>
    </dataValidation>
    <dataValidation type="list" allowBlank="1" showInputMessage="1" showErrorMessage="1" sqref="D168:D174">
      <formula1>Refrigerants</formula1>
    </dataValidation>
  </dataValidations>
  <printOptions/>
  <pageMargins left="0.75" right="0.75" top="1" bottom="1" header="0.5" footer="0.5"/>
  <pageSetup horizontalDpi="600" verticalDpi="600" orientation="landscape" r:id="rId2"/>
  <ignoredErrors>
    <ignoredError sqref="H114" formula="1" unlockedFormula="1"/>
  </ignoredErrors>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J32"/>
  <sheetViews>
    <sheetView showGridLines="0" zoomScale="75" zoomScaleNormal="75" workbookViewId="0" topLeftCell="A1">
      <pane ySplit="1" topLeftCell="BM2" activePane="bottomLeft" state="frozen"/>
      <selection pane="topLeft" activeCell="A1" sqref="A1"/>
      <selection pane="bottomLeft" activeCell="A1" sqref="A1:J1"/>
    </sheetView>
  </sheetViews>
  <sheetFormatPr defaultColWidth="9.140625" defaultRowHeight="12.75"/>
  <cols>
    <col min="1" max="1" width="3.7109375" style="66" customWidth="1"/>
    <col min="2" max="2" width="27.57421875" style="66" customWidth="1"/>
    <col min="3" max="5" width="11.7109375" style="66" customWidth="1"/>
    <col min="6" max="7" width="13.28125" style="66" customWidth="1"/>
    <col min="8" max="16384" width="9.140625" style="66" customWidth="1"/>
  </cols>
  <sheetData>
    <row r="1" spans="1:10" s="534" customFormat="1" ht="62.25" customHeight="1" thickBot="1">
      <c r="A1" s="656" t="str">
        <f>"Summary of "&amp;Welcome!C21&amp;" Greenhouse Gas Emission Inventory for "&amp;Welcome!C19</f>
        <v>Summary of  Greenhouse Gas Emission Inventory for </v>
      </c>
      <c r="B1" s="656"/>
      <c r="C1" s="656"/>
      <c r="D1" s="656"/>
      <c r="E1" s="656"/>
      <c r="F1" s="656"/>
      <c r="G1" s="656"/>
      <c r="H1" s="656"/>
      <c r="I1" s="656"/>
      <c r="J1" s="656"/>
    </row>
    <row r="2" ht="13.5" thickTop="1"/>
    <row r="3" ht="13.5" thickBot="1"/>
    <row r="4" spans="3:7" ht="15" thickTop="1">
      <c r="C4" s="659" t="s">
        <v>49</v>
      </c>
      <c r="D4" s="660"/>
      <c r="E4" s="660"/>
      <c r="F4" s="660"/>
      <c r="G4" s="661"/>
    </row>
    <row r="5" spans="3:7" ht="14.25">
      <c r="C5" s="535" t="s">
        <v>934</v>
      </c>
      <c r="D5" s="535" t="s">
        <v>935</v>
      </c>
      <c r="E5" s="535" t="s">
        <v>936</v>
      </c>
      <c r="F5" s="535" t="s">
        <v>1043</v>
      </c>
      <c r="G5" s="535" t="s">
        <v>270</v>
      </c>
    </row>
    <row r="6" spans="2:7" ht="12.75">
      <c r="B6" s="259" t="s">
        <v>267</v>
      </c>
      <c r="C6" s="219">
        <f>SUM(Calculations!P79:P83)</f>
        <v>0</v>
      </c>
      <c r="D6" s="219">
        <f>SUM(Calculations!R87:R91)</f>
        <v>0</v>
      </c>
      <c r="E6" s="219">
        <f>SUM(Calculations!T87:T91)</f>
        <v>0</v>
      </c>
      <c r="F6" s="219" t="s">
        <v>932</v>
      </c>
      <c r="G6" s="509">
        <f aca="true" t="shared" si="0" ref="G6:G15">SUM(C6:F6)</f>
        <v>0</v>
      </c>
    </row>
    <row r="7" spans="2:7" ht="12.75">
      <c r="B7" s="259" t="s">
        <v>684</v>
      </c>
      <c r="C7" s="219">
        <f>SUM(Calculations!R96:R100)</f>
        <v>0</v>
      </c>
      <c r="D7" s="219">
        <f>SUM(Calculations!R104:R108)</f>
        <v>0</v>
      </c>
      <c r="E7" s="219">
        <f>SUM(Calculations!T104:T108)</f>
        <v>0</v>
      </c>
      <c r="F7" s="219" t="s">
        <v>932</v>
      </c>
      <c r="G7" s="509">
        <f t="shared" si="0"/>
        <v>0</v>
      </c>
    </row>
    <row r="8" spans="2:7" ht="12.75">
      <c r="B8" s="259" t="s">
        <v>363</v>
      </c>
      <c r="C8" s="219">
        <f>SUM(Calculations!R113:R117)</f>
        <v>0</v>
      </c>
      <c r="D8" s="219">
        <f>SUM(Calculations!R121:R125)</f>
        <v>0</v>
      </c>
      <c r="E8" s="219">
        <f>SUM(Calculations!T121:T125)</f>
        <v>0</v>
      </c>
      <c r="F8" s="219" t="s">
        <v>932</v>
      </c>
      <c r="G8" s="509">
        <f t="shared" si="0"/>
        <v>0</v>
      </c>
    </row>
    <row r="9" spans="2:7" ht="12.75">
      <c r="B9" s="259" t="s">
        <v>479</v>
      </c>
      <c r="C9" s="219">
        <f>SUM(Calculations!P130:P134)</f>
        <v>0</v>
      </c>
      <c r="D9" s="219">
        <f>SUM(Calculations!R138:R142)</f>
        <v>0</v>
      </c>
      <c r="E9" s="219">
        <f>SUM(Calculations!T138:T142)</f>
        <v>0</v>
      </c>
      <c r="F9" s="219" t="s">
        <v>932</v>
      </c>
      <c r="G9" s="509">
        <f t="shared" si="0"/>
        <v>0</v>
      </c>
    </row>
    <row r="10" spans="2:7" ht="13.5" thickBot="1">
      <c r="B10" s="539" t="s">
        <v>490</v>
      </c>
      <c r="C10" s="540">
        <f>SUM(Calculations!P147:P151)</f>
        <v>0</v>
      </c>
      <c r="D10" s="540">
        <f>SUM(Calculations!R155:R159)</f>
        <v>0</v>
      </c>
      <c r="E10" s="540">
        <f>SUM(Calculations!T155:T159)</f>
        <v>0</v>
      </c>
      <c r="F10" s="540" t="s">
        <v>932</v>
      </c>
      <c r="G10" s="541">
        <f t="shared" si="0"/>
        <v>0</v>
      </c>
    </row>
    <row r="11" spans="2:7" ht="14.25" thickBot="1" thickTop="1">
      <c r="B11" s="536" t="s">
        <v>976</v>
      </c>
      <c r="C11" s="537">
        <f>SUM(C6:C10)</f>
        <v>0</v>
      </c>
      <c r="D11" s="537">
        <f>SUM(D6:D10)</f>
        <v>0</v>
      </c>
      <c r="E11" s="537">
        <f>SUM(E6:E10)</f>
        <v>0</v>
      </c>
      <c r="F11" s="537" t="s">
        <v>932</v>
      </c>
      <c r="G11" s="538">
        <f>SUM(C11:F11)</f>
        <v>0</v>
      </c>
    </row>
    <row r="12" ht="13.5" thickTop="1"/>
    <row r="13" spans="2:7" ht="12.75">
      <c r="B13" s="259" t="s">
        <v>730</v>
      </c>
      <c r="C13" s="219">
        <f>SUM(Calculations!L23:L27,Calculations!L31:L35)</f>
        <v>0</v>
      </c>
      <c r="D13" s="219" t="s">
        <v>932</v>
      </c>
      <c r="E13" s="219" t="s">
        <v>932</v>
      </c>
      <c r="F13" s="219" t="s">
        <v>932</v>
      </c>
      <c r="G13" s="509">
        <f t="shared" si="0"/>
        <v>0</v>
      </c>
    </row>
    <row r="14" spans="2:7" ht="12.75">
      <c r="B14" s="259" t="s">
        <v>994</v>
      </c>
      <c r="C14" s="219">
        <f>SUM(Calculations!L40:L44)</f>
        <v>0</v>
      </c>
      <c r="D14" s="219" t="s">
        <v>932</v>
      </c>
      <c r="E14" s="219" t="s">
        <v>932</v>
      </c>
      <c r="F14" s="219" t="s">
        <v>932</v>
      </c>
      <c r="G14" s="509">
        <f t="shared" si="0"/>
        <v>0</v>
      </c>
    </row>
    <row r="15" spans="2:7" ht="13.5" thickBot="1">
      <c r="B15" s="259" t="s">
        <v>734</v>
      </c>
      <c r="C15" s="219">
        <f>SUM(Calculations!L49:L53)</f>
        <v>0</v>
      </c>
      <c r="D15" s="219" t="s">
        <v>932</v>
      </c>
      <c r="E15" s="219" t="s">
        <v>932</v>
      </c>
      <c r="F15" s="219" t="s">
        <v>932</v>
      </c>
      <c r="G15" s="509">
        <f t="shared" si="0"/>
        <v>0</v>
      </c>
    </row>
    <row r="16" spans="2:7" ht="14.25" thickBot="1" thickTop="1">
      <c r="B16" s="536" t="s">
        <v>709</v>
      </c>
      <c r="C16" s="537">
        <f>SUM(C13:C15)</f>
        <v>0</v>
      </c>
      <c r="D16" s="537">
        <f>SUM(D13:D15)</f>
        <v>0</v>
      </c>
      <c r="E16" s="537">
        <f>SUM(E13:E15)</f>
        <v>0</v>
      </c>
      <c r="F16" s="537" t="s">
        <v>932</v>
      </c>
      <c r="G16" s="538">
        <f>SUM(C16:F16)</f>
        <v>0</v>
      </c>
    </row>
    <row r="17" ht="14.25" thickBot="1" thickTop="1"/>
    <row r="18" spans="3:7" ht="15.75" thickBot="1" thickTop="1">
      <c r="C18" s="657" t="s">
        <v>50</v>
      </c>
      <c r="D18" s="657"/>
      <c r="E18" s="657"/>
      <c r="F18" s="657"/>
      <c r="G18" s="657"/>
    </row>
    <row r="19" spans="3:7" ht="15.75" thickBot="1" thickTop="1">
      <c r="C19" s="535" t="s">
        <v>934</v>
      </c>
      <c r="D19" s="535" t="s">
        <v>935</v>
      </c>
      <c r="E19" s="535" t="s">
        <v>936</v>
      </c>
      <c r="F19" s="535" t="s">
        <v>1043</v>
      </c>
      <c r="G19" s="535" t="s">
        <v>270</v>
      </c>
    </row>
    <row r="20" spans="2:7" ht="14.25" thickBot="1" thickTop="1">
      <c r="B20" s="536" t="s">
        <v>679</v>
      </c>
      <c r="C20" s="537">
        <f>SUM(Calculations!N61,Calculations!N68)</f>
        <v>0</v>
      </c>
      <c r="D20" s="537">
        <f>SUM(Calculations!V64,Calculations!V71)</f>
        <v>0</v>
      </c>
      <c r="E20" s="537">
        <f>SUM(Calculations!X64,Calculations!X71)</f>
        <v>0</v>
      </c>
      <c r="F20" s="537" t="s">
        <v>932</v>
      </c>
      <c r="G20" s="538">
        <f>SUM(C20:F20)</f>
        <v>0</v>
      </c>
    </row>
    <row r="21" ht="14.25" thickBot="1" thickTop="1">
      <c r="C21" s="260"/>
    </row>
    <row r="22" spans="3:7" ht="15.75" thickBot="1" thickTop="1">
      <c r="C22" s="657" t="s">
        <v>51</v>
      </c>
      <c r="D22" s="657"/>
      <c r="E22" s="657"/>
      <c r="F22" s="657"/>
      <c r="G22" s="657"/>
    </row>
    <row r="23" spans="3:7" ht="15.75" thickBot="1" thickTop="1">
      <c r="C23" s="535" t="s">
        <v>934</v>
      </c>
      <c r="D23" s="535" t="s">
        <v>935</v>
      </c>
      <c r="E23" s="535" t="s">
        <v>936</v>
      </c>
      <c r="F23" s="535" t="s">
        <v>1043</v>
      </c>
      <c r="G23" s="535" t="s">
        <v>270</v>
      </c>
    </row>
    <row r="24" spans="2:7" ht="14.25" thickBot="1" thickTop="1">
      <c r="B24" s="536" t="s">
        <v>40</v>
      </c>
      <c r="C24" s="537">
        <f>SUM(Calculations!L182:L191,Calculations!P198:P207,Calculations!L212:L216,Calculations!J222:J226)</f>
        <v>0</v>
      </c>
      <c r="D24" s="537" t="s">
        <v>932</v>
      </c>
      <c r="E24" s="537" t="s">
        <v>932</v>
      </c>
      <c r="F24" s="537">
        <f>SUM(Calculations!P168:P174,Calculations!J182:J191,Calculations!N198:N207)-SUM(Calculations!L182:L191,Calculations!P198:P207)</f>
        <v>0</v>
      </c>
      <c r="G24" s="538">
        <f>SUM(C24:F24)</f>
        <v>0</v>
      </c>
    </row>
    <row r="25" ht="14.25" thickBot="1" thickTop="1"/>
    <row r="26" spans="3:7" ht="15.75" thickBot="1" thickTop="1">
      <c r="C26" s="657" t="s">
        <v>52</v>
      </c>
      <c r="D26" s="657"/>
      <c r="E26" s="657"/>
      <c r="F26" s="657"/>
      <c r="G26" s="657"/>
    </row>
    <row r="27" spans="3:7" ht="15.75" thickBot="1" thickTop="1">
      <c r="C27" s="535" t="s">
        <v>934</v>
      </c>
      <c r="D27" s="535" t="s">
        <v>935</v>
      </c>
      <c r="E27" s="535" t="s">
        <v>936</v>
      </c>
      <c r="F27" s="535" t="s">
        <v>1043</v>
      </c>
      <c r="G27" s="535" t="s">
        <v>270</v>
      </c>
    </row>
    <row r="28" spans="2:7" ht="14.25" thickBot="1" thickTop="1">
      <c r="B28" s="536" t="s">
        <v>132</v>
      </c>
      <c r="C28" s="537">
        <f>SUM(Calculations!D235:D244)</f>
        <v>0</v>
      </c>
      <c r="D28" s="537">
        <f>SUM(Calculations!F235:F244)</f>
        <v>0</v>
      </c>
      <c r="E28" s="537">
        <f>SUM(Calculations!H235:H244)</f>
        <v>0</v>
      </c>
      <c r="F28" s="537">
        <f>SUM(Calculations!J235:J244)</f>
        <v>0</v>
      </c>
      <c r="G28" s="538">
        <f>SUM(C28:F28)</f>
        <v>0</v>
      </c>
    </row>
    <row r="29" ht="14.25" thickBot="1" thickTop="1"/>
    <row r="30" spans="3:7" ht="18.75" thickBot="1" thickTop="1">
      <c r="C30" s="658" t="s">
        <v>53</v>
      </c>
      <c r="D30" s="658"/>
      <c r="E30" s="658"/>
      <c r="F30" s="658"/>
      <c r="G30" s="658"/>
    </row>
    <row r="31" spans="3:7" ht="18.75" thickBot="1" thickTop="1">
      <c r="C31" s="542" t="s">
        <v>54</v>
      </c>
      <c r="D31" s="542" t="s">
        <v>55</v>
      </c>
      <c r="E31" s="542" t="s">
        <v>56</v>
      </c>
      <c r="F31" s="542" t="s">
        <v>1043</v>
      </c>
      <c r="G31" s="542" t="s">
        <v>270</v>
      </c>
    </row>
    <row r="32" spans="2:7" ht="15.75" thickBot="1" thickTop="1">
      <c r="B32" s="543" t="s">
        <v>933</v>
      </c>
      <c r="C32" s="544">
        <f>SUM(C28,C24:C24,C20,C16,C11)</f>
        <v>0</v>
      </c>
      <c r="D32" s="544">
        <f>SUM(D28,D24:D24,D20,D16,D11)</f>
        <v>0</v>
      </c>
      <c r="E32" s="544">
        <f>SUM(E28,E24:E24,E20,E16,E11)</f>
        <v>0</v>
      </c>
      <c r="F32" s="544">
        <f>SUM(F28,F24:F24,F20,F16,F11)</f>
        <v>0</v>
      </c>
      <c r="G32" s="545">
        <f>SUM(C32:F32)</f>
        <v>0</v>
      </c>
    </row>
    <row r="33" ht="13.5" thickTop="1"/>
  </sheetData>
  <sheetProtection/>
  <mergeCells count="6">
    <mergeCell ref="A1:J1"/>
    <mergeCell ref="C26:G26"/>
    <mergeCell ref="C30:G30"/>
    <mergeCell ref="C4:G4"/>
    <mergeCell ref="C18:G18"/>
    <mergeCell ref="C22:G22"/>
  </mergeCells>
  <printOptions/>
  <pageMargins left="0.25" right="0.22" top="0.83" bottom="1" header="0.5" footer="0.5"/>
  <pageSetup fitToHeight="1" fitToWidth="1" horizontalDpi="300" verticalDpi="300" orientation="landscape" scale="54" r:id="rId2"/>
  <drawing r:id="rId1"/>
</worksheet>
</file>

<file path=xl/worksheets/sheet5.xml><?xml version="1.0" encoding="utf-8"?>
<worksheet xmlns="http://schemas.openxmlformats.org/spreadsheetml/2006/main" xmlns:r="http://schemas.openxmlformats.org/officeDocument/2006/relationships">
  <sheetPr codeName="Sheet4"/>
  <dimension ref="A1:J98"/>
  <sheetViews>
    <sheetView workbookViewId="0" topLeftCell="A1">
      <pane ySplit="4" topLeftCell="BM56" activePane="bottomLeft" state="frozen"/>
      <selection pane="topLeft" activeCell="A1" sqref="A1"/>
      <selection pane="bottomLeft" activeCell="B72" sqref="B72"/>
    </sheetView>
  </sheetViews>
  <sheetFormatPr defaultColWidth="9.140625" defaultRowHeight="12.75"/>
  <cols>
    <col min="1" max="1" width="4.421875" style="20" customWidth="1"/>
    <col min="2" max="2" width="27.7109375" style="20" customWidth="1"/>
    <col min="3" max="3" width="9.8515625" style="74" customWidth="1"/>
    <col min="4" max="4" width="10.421875" style="74" bestFit="1" customWidth="1"/>
    <col min="5" max="5" width="13.28125" style="74" bestFit="1" customWidth="1"/>
    <col min="6" max="6" width="10.421875" style="20" customWidth="1"/>
    <col min="7" max="7" width="10.421875" style="20" bestFit="1" customWidth="1"/>
    <col min="8" max="8" width="13.28125" style="20" bestFit="1" customWidth="1"/>
    <col min="9" max="9" width="3.8515625" style="20" customWidth="1"/>
    <col min="10" max="16384" width="9.140625" style="20" customWidth="1"/>
  </cols>
  <sheetData>
    <row r="1" spans="1:8" s="546" customFormat="1" ht="42" customHeight="1" thickBot="1">
      <c r="A1" s="663" t="s">
        <v>1050</v>
      </c>
      <c r="B1" s="663"/>
      <c r="C1" s="663"/>
      <c r="D1" s="663"/>
      <c r="E1" s="663"/>
      <c r="F1" s="663"/>
      <c r="G1" s="663"/>
      <c r="H1" s="663"/>
    </row>
    <row r="2" ht="14.25" thickBot="1" thickTop="1"/>
    <row r="3" spans="2:8" ht="14.25">
      <c r="B3" s="75"/>
      <c r="C3" s="76" t="s">
        <v>629</v>
      </c>
      <c r="D3" s="77"/>
      <c r="E3" s="78"/>
      <c r="F3" s="76" t="s">
        <v>630</v>
      </c>
      <c r="G3" s="79"/>
      <c r="H3" s="79"/>
    </row>
    <row r="4" spans="2:8" ht="15" thickBot="1">
      <c r="B4" s="80" t="s">
        <v>389</v>
      </c>
      <c r="C4" s="81" t="s">
        <v>390</v>
      </c>
      <c r="D4" s="81" t="s">
        <v>391</v>
      </c>
      <c r="E4" s="82" t="s">
        <v>631</v>
      </c>
      <c r="F4" s="81" t="s">
        <v>390</v>
      </c>
      <c r="G4" s="81" t="s">
        <v>391</v>
      </c>
      <c r="H4" s="82" t="s">
        <v>631</v>
      </c>
    </row>
    <row r="5" spans="2:10" ht="12.75">
      <c r="B5" s="83" t="s">
        <v>392</v>
      </c>
      <c r="C5" s="84"/>
      <c r="D5" s="84"/>
      <c r="E5" s="85"/>
      <c r="F5" s="84"/>
      <c r="G5" s="84"/>
      <c r="H5" s="86"/>
      <c r="J5" s="87"/>
    </row>
    <row r="6" spans="2:10" ht="12.75">
      <c r="B6" s="88" t="s">
        <v>393</v>
      </c>
      <c r="C6" s="84" t="s">
        <v>394</v>
      </c>
      <c r="D6" s="84">
        <v>29</v>
      </c>
      <c r="E6" s="89" t="s">
        <v>395</v>
      </c>
      <c r="F6" s="90" t="s">
        <v>396</v>
      </c>
      <c r="G6" s="91">
        <v>12.478734799999998</v>
      </c>
      <c r="H6" s="92"/>
      <c r="J6" s="93" t="s">
        <v>397</v>
      </c>
    </row>
    <row r="7" spans="2:10" ht="12.75">
      <c r="B7" s="88" t="s">
        <v>287</v>
      </c>
      <c r="C7" s="94" t="s">
        <v>398</v>
      </c>
      <c r="D7" s="84">
        <v>30</v>
      </c>
      <c r="E7" s="89" t="s">
        <v>395</v>
      </c>
      <c r="F7" s="90" t="s">
        <v>399</v>
      </c>
      <c r="G7" s="91">
        <v>12.909036</v>
      </c>
      <c r="H7" s="92"/>
      <c r="J7" s="95" t="s">
        <v>400</v>
      </c>
    </row>
    <row r="8" spans="2:10" ht="12.75">
      <c r="B8" s="88" t="s">
        <v>291</v>
      </c>
      <c r="C8" s="94" t="s">
        <v>401</v>
      </c>
      <c r="D8" s="84">
        <v>21</v>
      </c>
      <c r="E8" s="89" t="s">
        <v>395</v>
      </c>
      <c r="F8" s="90" t="s">
        <v>402</v>
      </c>
      <c r="G8" s="91">
        <v>9.036325199999999</v>
      </c>
      <c r="H8" s="92"/>
      <c r="J8" s="95" t="s">
        <v>403</v>
      </c>
    </row>
    <row r="9" spans="2:10" ht="12.75">
      <c r="B9" s="88" t="s">
        <v>404</v>
      </c>
      <c r="C9" s="94" t="s">
        <v>405</v>
      </c>
      <c r="D9" s="84">
        <v>16</v>
      </c>
      <c r="E9" s="89" t="s">
        <v>395</v>
      </c>
      <c r="F9" s="90" t="s">
        <v>406</v>
      </c>
      <c r="G9" s="91">
        <v>6.8848192</v>
      </c>
      <c r="H9" s="92"/>
      <c r="J9" s="96" t="s">
        <v>407</v>
      </c>
    </row>
    <row r="10" spans="2:10" ht="12.75">
      <c r="B10" s="88" t="s">
        <v>408</v>
      </c>
      <c r="C10" s="84" t="s">
        <v>409</v>
      </c>
      <c r="D10" s="84">
        <v>29</v>
      </c>
      <c r="E10" s="89"/>
      <c r="F10" s="90" t="s">
        <v>396</v>
      </c>
      <c r="G10" s="91">
        <v>12.478734799999998</v>
      </c>
      <c r="H10" s="92"/>
      <c r="J10" s="95" t="s">
        <v>410</v>
      </c>
    </row>
    <row r="11" spans="2:10" ht="12.75">
      <c r="B11" s="88" t="s">
        <v>411</v>
      </c>
      <c r="C11" s="84" t="s">
        <v>412</v>
      </c>
      <c r="D11" s="84">
        <v>30</v>
      </c>
      <c r="E11" s="89" t="s">
        <v>395</v>
      </c>
      <c r="F11" s="90" t="s">
        <v>413</v>
      </c>
      <c r="G11" s="91">
        <v>12.909036</v>
      </c>
      <c r="H11" s="92"/>
      <c r="J11" s="95" t="s">
        <v>414</v>
      </c>
    </row>
    <row r="12" spans="2:8" ht="12.75">
      <c r="B12" s="97" t="s">
        <v>415</v>
      </c>
      <c r="C12" s="98" t="s">
        <v>416</v>
      </c>
      <c r="D12" s="99">
        <v>21</v>
      </c>
      <c r="E12" s="100" t="s">
        <v>395</v>
      </c>
      <c r="F12" s="101" t="s">
        <v>406</v>
      </c>
      <c r="G12" s="102">
        <v>9.036325199999999</v>
      </c>
      <c r="H12" s="103"/>
    </row>
    <row r="13" spans="2:8" ht="12.75">
      <c r="B13" s="83" t="s">
        <v>417</v>
      </c>
      <c r="C13" s="84"/>
      <c r="D13" s="84"/>
      <c r="E13" s="89"/>
      <c r="F13" s="90"/>
      <c r="G13" s="91"/>
      <c r="H13" s="92"/>
    </row>
    <row r="14" spans="2:8" ht="12.75">
      <c r="B14" s="88" t="s">
        <v>294</v>
      </c>
      <c r="C14" s="84" t="s">
        <v>418</v>
      </c>
      <c r="D14" s="84">
        <v>51</v>
      </c>
      <c r="E14" s="89"/>
      <c r="F14" s="90" t="s">
        <v>419</v>
      </c>
      <c r="G14" s="91">
        <v>21.9453612</v>
      </c>
      <c r="H14" s="92"/>
    </row>
    <row r="15" spans="2:8" ht="12.75">
      <c r="B15" s="88" t="s">
        <v>420</v>
      </c>
      <c r="C15" s="84" t="s">
        <v>421</v>
      </c>
      <c r="D15" s="84">
        <v>52</v>
      </c>
      <c r="E15" s="89"/>
      <c r="F15" s="90" t="s">
        <v>422</v>
      </c>
      <c r="G15" s="91">
        <v>22.3756624</v>
      </c>
      <c r="H15" s="92"/>
    </row>
    <row r="16" spans="2:8" ht="12.75">
      <c r="B16" s="88" t="s">
        <v>359</v>
      </c>
      <c r="C16" s="84" t="s">
        <v>423</v>
      </c>
      <c r="D16" s="84">
        <v>55.6</v>
      </c>
      <c r="E16" s="89"/>
      <c r="F16" s="90"/>
      <c r="G16" s="104">
        <v>23.924746719999998</v>
      </c>
      <c r="H16" s="105"/>
    </row>
    <row r="17" spans="2:8" ht="12.75">
      <c r="B17" s="88" t="s">
        <v>424</v>
      </c>
      <c r="C17" s="84" t="s">
        <v>423</v>
      </c>
      <c r="D17" s="84">
        <v>51.9</v>
      </c>
      <c r="E17" s="89"/>
      <c r="F17" s="90"/>
      <c r="G17" s="104">
        <v>22.332632280000002</v>
      </c>
      <c r="H17" s="105"/>
    </row>
    <row r="18" spans="2:8" ht="12.75">
      <c r="B18" s="88" t="s">
        <v>289</v>
      </c>
      <c r="C18" s="84" t="s">
        <v>423</v>
      </c>
      <c r="D18" s="84">
        <v>50.4</v>
      </c>
      <c r="E18" s="89"/>
      <c r="F18" s="90"/>
      <c r="G18" s="104">
        <v>21.68718048</v>
      </c>
      <c r="H18" s="105"/>
    </row>
    <row r="19" spans="2:8" ht="12.75">
      <c r="B19" s="88" t="s">
        <v>288</v>
      </c>
      <c r="C19" s="84" t="s">
        <v>423</v>
      </c>
      <c r="D19" s="84">
        <v>49.5</v>
      </c>
      <c r="E19" s="89"/>
      <c r="F19" s="90"/>
      <c r="G19" s="104">
        <v>21.2999094</v>
      </c>
      <c r="H19" s="105"/>
    </row>
    <row r="20" spans="2:8" ht="12.75">
      <c r="B20" s="106" t="s">
        <v>425</v>
      </c>
      <c r="C20" s="84" t="s">
        <v>423</v>
      </c>
      <c r="D20" s="84">
        <v>49.5</v>
      </c>
      <c r="E20" s="89"/>
      <c r="F20" s="90"/>
      <c r="G20" s="104">
        <v>21.2999094</v>
      </c>
      <c r="H20" s="105"/>
    </row>
    <row r="21" spans="2:8" ht="12.75">
      <c r="B21" s="106" t="s">
        <v>426</v>
      </c>
      <c r="C21" s="84" t="s">
        <v>423</v>
      </c>
      <c r="D21" s="84">
        <v>49.4</v>
      </c>
      <c r="E21" s="89"/>
      <c r="F21" s="90"/>
      <c r="G21" s="104">
        <v>21.25687928</v>
      </c>
      <c r="H21" s="105"/>
    </row>
    <row r="22" spans="2:8" ht="12.75">
      <c r="B22" s="97" t="s">
        <v>427</v>
      </c>
      <c r="C22" s="99" t="s">
        <v>428</v>
      </c>
      <c r="D22" s="99">
        <v>52</v>
      </c>
      <c r="E22" s="100" t="s">
        <v>395</v>
      </c>
      <c r="F22" s="101" t="s">
        <v>429</v>
      </c>
      <c r="G22" s="102">
        <v>22.3756624</v>
      </c>
      <c r="H22" s="103"/>
    </row>
    <row r="23" spans="2:8" ht="12.75">
      <c r="B23" s="83" t="s">
        <v>430</v>
      </c>
      <c r="C23" s="84"/>
      <c r="D23" s="84"/>
      <c r="E23" s="89"/>
      <c r="F23" s="90"/>
      <c r="G23" s="91"/>
      <c r="H23" s="92"/>
    </row>
    <row r="24" spans="2:8" ht="12.75">
      <c r="B24" s="88" t="s">
        <v>431</v>
      </c>
      <c r="C24" s="84" t="s">
        <v>432</v>
      </c>
      <c r="D24" s="84">
        <v>46</v>
      </c>
      <c r="E24" s="89" t="s">
        <v>395</v>
      </c>
      <c r="F24" s="90" t="s">
        <v>433</v>
      </c>
      <c r="G24" s="91">
        <v>19.7938552</v>
      </c>
      <c r="H24" s="92"/>
    </row>
    <row r="25" spans="2:8" ht="12.75">
      <c r="B25" s="88" t="s">
        <v>434</v>
      </c>
      <c r="C25" s="84" t="s">
        <v>435</v>
      </c>
      <c r="D25" s="84">
        <v>47</v>
      </c>
      <c r="E25" s="89">
        <v>47.16</v>
      </c>
      <c r="F25" s="90" t="s">
        <v>436</v>
      </c>
      <c r="G25" s="91">
        <v>20.2241564</v>
      </c>
      <c r="H25" s="105">
        <v>20.293004592</v>
      </c>
    </row>
    <row r="26" spans="2:8" ht="12.75">
      <c r="B26" s="88" t="s">
        <v>278</v>
      </c>
      <c r="C26" s="84" t="s">
        <v>437</v>
      </c>
      <c r="D26" s="84">
        <v>48</v>
      </c>
      <c r="E26" s="89"/>
      <c r="F26" s="90" t="s">
        <v>438</v>
      </c>
      <c r="G26" s="91">
        <v>20.654457599999997</v>
      </c>
      <c r="H26" s="105"/>
    </row>
    <row r="27" spans="2:8" ht="12.75">
      <c r="B27" s="88" t="s">
        <v>439</v>
      </c>
      <c r="C27" s="84" t="s">
        <v>440</v>
      </c>
      <c r="D27" s="84">
        <v>46</v>
      </c>
      <c r="E27" s="89">
        <v>45.6</v>
      </c>
      <c r="F27" s="90" t="s">
        <v>441</v>
      </c>
      <c r="G27" s="91">
        <v>19.7938552</v>
      </c>
      <c r="H27" s="105">
        <v>19.62173472</v>
      </c>
    </row>
    <row r="28" spans="2:8" ht="12.75">
      <c r="B28" s="106" t="s">
        <v>280</v>
      </c>
      <c r="C28" s="84" t="s">
        <v>442</v>
      </c>
      <c r="D28" s="84">
        <v>46</v>
      </c>
      <c r="E28" s="89"/>
      <c r="F28" s="90" t="s">
        <v>443</v>
      </c>
      <c r="G28" s="91">
        <v>19.7938552</v>
      </c>
      <c r="H28" s="105"/>
    </row>
    <row r="29" spans="2:8" ht="12.75">
      <c r="B29" s="106" t="s">
        <v>281</v>
      </c>
      <c r="C29" s="84" t="s">
        <v>444</v>
      </c>
      <c r="D29" s="84">
        <v>46</v>
      </c>
      <c r="E29" s="89"/>
      <c r="F29" s="90" t="s">
        <v>441</v>
      </c>
      <c r="G29" s="91">
        <v>19.7938552</v>
      </c>
      <c r="H29" s="105"/>
    </row>
    <row r="30" spans="2:8" ht="12.75">
      <c r="B30" s="106" t="s">
        <v>445</v>
      </c>
      <c r="C30" s="84" t="s">
        <v>446</v>
      </c>
      <c r="D30" s="84">
        <v>46</v>
      </c>
      <c r="E30" s="89"/>
      <c r="F30" s="90" t="s">
        <v>443</v>
      </c>
      <c r="G30" s="91">
        <v>19.7938552</v>
      </c>
      <c r="H30" s="105"/>
    </row>
    <row r="31" spans="2:8" ht="12.75">
      <c r="B31" s="88" t="s">
        <v>447</v>
      </c>
      <c r="C31" s="84" t="s">
        <v>448</v>
      </c>
      <c r="D31" s="84">
        <v>43</v>
      </c>
      <c r="E31" s="89">
        <v>42.3</v>
      </c>
      <c r="F31" s="90" t="s">
        <v>449</v>
      </c>
      <c r="G31" s="91">
        <v>18.5029516</v>
      </c>
      <c r="H31" s="105">
        <v>18.201740759999996</v>
      </c>
    </row>
    <row r="32" spans="2:8" ht="12.75">
      <c r="B32" s="106" t="s">
        <v>450</v>
      </c>
      <c r="C32" s="84" t="s">
        <v>451</v>
      </c>
      <c r="D32" s="84">
        <v>43</v>
      </c>
      <c r="E32" s="89"/>
      <c r="F32" s="90" t="s">
        <v>452</v>
      </c>
      <c r="G32" s="91">
        <v>18.5029516</v>
      </c>
      <c r="H32" s="105"/>
    </row>
    <row r="33" spans="2:8" ht="12.75">
      <c r="B33" s="106" t="s">
        <v>453</v>
      </c>
      <c r="C33" s="84" t="s">
        <v>448</v>
      </c>
      <c r="D33" s="84">
        <v>43</v>
      </c>
      <c r="E33" s="89"/>
      <c r="F33" s="90" t="s">
        <v>449</v>
      </c>
      <c r="G33" s="91">
        <v>18.5029516</v>
      </c>
      <c r="H33" s="105"/>
    </row>
    <row r="34" spans="2:8" ht="12.75">
      <c r="B34" s="88" t="s">
        <v>269</v>
      </c>
      <c r="C34" s="84" t="s">
        <v>454</v>
      </c>
      <c r="D34" s="84">
        <v>46.9</v>
      </c>
      <c r="E34" s="89">
        <v>46.94</v>
      </c>
      <c r="F34" s="90" t="s">
        <v>455</v>
      </c>
      <c r="G34" s="104">
        <v>20.18112628</v>
      </c>
      <c r="H34" s="105">
        <v>20.198338328</v>
      </c>
    </row>
    <row r="35" spans="2:8" ht="12.75">
      <c r="B35" s="88" t="s">
        <v>456</v>
      </c>
      <c r="C35" s="84" t="s">
        <v>435</v>
      </c>
      <c r="D35" s="84">
        <v>47</v>
      </c>
      <c r="E35" s="89">
        <v>47.1</v>
      </c>
      <c r="F35" s="90" t="s">
        <v>457</v>
      </c>
      <c r="G35" s="91">
        <v>20.2241564</v>
      </c>
      <c r="H35" s="105">
        <v>20.26718652</v>
      </c>
    </row>
    <row r="36" spans="2:8" ht="12.75">
      <c r="B36" s="88" t="s">
        <v>349</v>
      </c>
      <c r="C36" s="84" t="s">
        <v>458</v>
      </c>
      <c r="D36" s="84">
        <v>33</v>
      </c>
      <c r="E36" s="89">
        <v>32.63</v>
      </c>
      <c r="F36" s="90" t="s">
        <v>459</v>
      </c>
      <c r="G36" s="91">
        <v>14.1999396</v>
      </c>
      <c r="H36" s="105">
        <v>14.040728156000002</v>
      </c>
    </row>
    <row r="37" spans="2:8" ht="12.75">
      <c r="B37" s="88" t="s">
        <v>263</v>
      </c>
      <c r="C37" s="84" t="s">
        <v>460</v>
      </c>
      <c r="D37" s="84">
        <v>50</v>
      </c>
      <c r="E37" s="89">
        <v>49.79</v>
      </c>
      <c r="F37" s="90" t="s">
        <v>461</v>
      </c>
      <c r="G37" s="91">
        <v>21.515060000000002</v>
      </c>
      <c r="H37" s="105">
        <v>21.424696748000002</v>
      </c>
    </row>
    <row r="38" spans="2:8" ht="12.75">
      <c r="B38" s="88" t="s">
        <v>462</v>
      </c>
      <c r="C38" s="84" t="s">
        <v>463</v>
      </c>
      <c r="D38" s="84">
        <v>47</v>
      </c>
      <c r="E38" s="89">
        <v>47.38</v>
      </c>
      <c r="F38" s="90" t="s">
        <v>464</v>
      </c>
      <c r="G38" s="91">
        <v>20.2241564</v>
      </c>
      <c r="H38" s="105">
        <v>20.387670856</v>
      </c>
    </row>
    <row r="39" spans="2:8" ht="12.75">
      <c r="B39" s="88" t="s">
        <v>465</v>
      </c>
      <c r="C39" s="84" t="s">
        <v>466</v>
      </c>
      <c r="D39" s="84">
        <v>42</v>
      </c>
      <c r="E39" s="89">
        <v>42.3</v>
      </c>
      <c r="F39" s="90" t="s">
        <v>467</v>
      </c>
      <c r="G39" s="91">
        <v>18.072650399999997</v>
      </c>
      <c r="H39" s="105">
        <v>18.201740759999996</v>
      </c>
    </row>
    <row r="40" spans="2:8" ht="12.75">
      <c r="B40" s="88" t="s">
        <v>468</v>
      </c>
      <c r="C40" s="84" t="s">
        <v>469</v>
      </c>
      <c r="D40" s="84">
        <v>40</v>
      </c>
      <c r="E40" s="89"/>
      <c r="F40" s="90" t="s">
        <v>470</v>
      </c>
      <c r="G40" s="91">
        <v>17.212048</v>
      </c>
      <c r="H40" s="105"/>
    </row>
    <row r="41" spans="2:8" ht="12.75">
      <c r="B41" s="88" t="s">
        <v>285</v>
      </c>
      <c r="C41" s="84" t="s">
        <v>471</v>
      </c>
      <c r="D41" s="84">
        <v>43</v>
      </c>
      <c r="E41" s="89">
        <v>42.3</v>
      </c>
      <c r="F41" s="90" t="s">
        <v>452</v>
      </c>
      <c r="G41" s="91">
        <v>18.5029516</v>
      </c>
      <c r="H41" s="105">
        <v>18.201740759999996</v>
      </c>
    </row>
    <row r="42" spans="2:8" ht="12.75">
      <c r="B42" s="88" t="s">
        <v>472</v>
      </c>
      <c r="C42" s="84" t="s">
        <v>473</v>
      </c>
      <c r="D42" s="84">
        <v>46</v>
      </c>
      <c r="E42" s="89"/>
      <c r="F42" s="90" t="s">
        <v>443</v>
      </c>
      <c r="G42" s="91">
        <v>19.7938552</v>
      </c>
      <c r="H42" s="105"/>
    </row>
    <row r="43" spans="2:8" ht="12.75">
      <c r="B43" s="88" t="s">
        <v>474</v>
      </c>
      <c r="C43" s="84" t="s">
        <v>475</v>
      </c>
      <c r="D43" s="84">
        <v>38</v>
      </c>
      <c r="E43" s="89">
        <v>37.89</v>
      </c>
      <c r="F43" s="90" t="s">
        <v>476</v>
      </c>
      <c r="G43" s="91">
        <v>16.3514456</v>
      </c>
      <c r="H43" s="105">
        <v>16.304112468</v>
      </c>
    </row>
    <row r="44" spans="2:8" ht="12.75">
      <c r="B44" s="97" t="s">
        <v>477</v>
      </c>
      <c r="C44" s="107" t="s">
        <v>402</v>
      </c>
      <c r="D44" s="99">
        <v>10</v>
      </c>
      <c r="E44" s="100">
        <v>9.89</v>
      </c>
      <c r="F44" s="101" t="s">
        <v>478</v>
      </c>
      <c r="G44" s="102">
        <v>4.303012</v>
      </c>
      <c r="H44" s="108">
        <v>4.255678868</v>
      </c>
    </row>
    <row r="45" spans="2:8" ht="12.75">
      <c r="B45" s="83" t="s">
        <v>479</v>
      </c>
      <c r="C45" s="84"/>
      <c r="D45" s="84"/>
      <c r="E45" s="89"/>
      <c r="F45" s="90"/>
      <c r="G45" s="91"/>
      <c r="H45" s="92"/>
    </row>
    <row r="46" spans="2:8" ht="12.75">
      <c r="B46" s="88" t="s">
        <v>554</v>
      </c>
      <c r="C46" s="84" t="s">
        <v>480</v>
      </c>
      <c r="D46" s="84">
        <v>16</v>
      </c>
      <c r="E46" s="89"/>
      <c r="F46" s="90" t="s">
        <v>481</v>
      </c>
      <c r="G46" s="91">
        <v>6.8848192</v>
      </c>
      <c r="H46" s="92"/>
    </row>
    <row r="47" spans="2:8" ht="12.75">
      <c r="B47" s="88" t="s">
        <v>482</v>
      </c>
      <c r="C47" s="84" t="s">
        <v>483</v>
      </c>
      <c r="D47" s="84">
        <v>30</v>
      </c>
      <c r="E47" s="89"/>
      <c r="F47" s="90" t="s">
        <v>484</v>
      </c>
      <c r="G47" s="91">
        <v>12.909036</v>
      </c>
      <c r="H47" s="92"/>
    </row>
    <row r="48" spans="2:8" ht="12.75">
      <c r="B48" s="88" t="s">
        <v>485</v>
      </c>
      <c r="C48" s="84" t="s">
        <v>486</v>
      </c>
      <c r="D48" s="84">
        <v>30</v>
      </c>
      <c r="E48" s="89">
        <v>29.47</v>
      </c>
      <c r="F48" s="90" t="s">
        <v>396</v>
      </c>
      <c r="G48" s="91">
        <v>12.909036</v>
      </c>
      <c r="H48" s="105">
        <v>12.680976364</v>
      </c>
    </row>
    <row r="49" spans="2:8" ht="12.75">
      <c r="B49" s="97" t="s">
        <v>487</v>
      </c>
      <c r="C49" s="99" t="s">
        <v>488</v>
      </c>
      <c r="D49" s="99">
        <v>36</v>
      </c>
      <c r="E49" s="100"/>
      <c r="F49" s="101" t="s">
        <v>489</v>
      </c>
      <c r="G49" s="102">
        <v>15.490843199999999</v>
      </c>
      <c r="H49" s="103"/>
    </row>
    <row r="50" spans="2:8" ht="12.75">
      <c r="B50" s="83" t="s">
        <v>490</v>
      </c>
      <c r="C50" s="84"/>
      <c r="D50" s="84"/>
      <c r="E50" s="89"/>
      <c r="F50" s="90"/>
      <c r="G50" s="91"/>
      <c r="H50" s="92"/>
    </row>
    <row r="51" spans="2:8" ht="12.75">
      <c r="B51" s="88" t="s">
        <v>491</v>
      </c>
      <c r="C51" s="84" t="s">
        <v>492</v>
      </c>
      <c r="D51" s="84">
        <v>20</v>
      </c>
      <c r="E51" s="89" t="s">
        <v>632</v>
      </c>
      <c r="F51" s="90" t="s">
        <v>493</v>
      </c>
      <c r="G51" s="91">
        <v>8.606024</v>
      </c>
      <c r="H51" s="92"/>
    </row>
    <row r="52" spans="2:8" ht="12.75">
      <c r="B52" s="88" t="s">
        <v>494</v>
      </c>
      <c r="C52" s="109" t="s">
        <v>413</v>
      </c>
      <c r="D52" s="84">
        <v>11</v>
      </c>
      <c r="E52" s="89" t="s">
        <v>632</v>
      </c>
      <c r="F52" s="90" t="s">
        <v>495</v>
      </c>
      <c r="G52" s="91">
        <v>4.7333131999999996</v>
      </c>
      <c r="H52" s="92"/>
    </row>
    <row r="53" spans="2:8" ht="12.75">
      <c r="B53" s="88" t="s">
        <v>496</v>
      </c>
      <c r="C53" s="84" t="s">
        <v>497</v>
      </c>
      <c r="D53" s="84">
        <v>16</v>
      </c>
      <c r="E53" s="89" t="s">
        <v>632</v>
      </c>
      <c r="F53" s="90" t="s">
        <v>498</v>
      </c>
      <c r="G53" s="91">
        <v>6.8848192</v>
      </c>
      <c r="H53" s="92"/>
    </row>
    <row r="54" spans="2:8" ht="12.75">
      <c r="B54" s="88" t="s">
        <v>499</v>
      </c>
      <c r="C54" s="110" t="s">
        <v>500</v>
      </c>
      <c r="D54" s="84">
        <v>14</v>
      </c>
      <c r="E54" s="89"/>
      <c r="F54" s="90" t="s">
        <v>501</v>
      </c>
      <c r="G54" s="91">
        <v>6.0242168000000005</v>
      </c>
      <c r="H54" s="92"/>
    </row>
    <row r="55" spans="2:8" ht="12.75">
      <c r="B55" s="88" t="s">
        <v>555</v>
      </c>
      <c r="C55" s="110" t="s">
        <v>502</v>
      </c>
      <c r="D55" s="84">
        <v>13</v>
      </c>
      <c r="E55" s="89"/>
      <c r="F55" s="90" t="s">
        <v>503</v>
      </c>
      <c r="G55" s="91">
        <v>5.5939156</v>
      </c>
      <c r="H55" s="92"/>
    </row>
    <row r="56" spans="2:8" ht="12.75">
      <c r="B56" s="88" t="s">
        <v>964</v>
      </c>
      <c r="C56" s="110" t="s">
        <v>502</v>
      </c>
      <c r="D56" s="84">
        <v>13</v>
      </c>
      <c r="E56" s="89"/>
      <c r="F56" s="90" t="s">
        <v>503</v>
      </c>
      <c r="G56" s="91">
        <v>5.5939156</v>
      </c>
      <c r="H56" s="92"/>
    </row>
    <row r="57" spans="2:8" ht="12.75">
      <c r="B57" s="88" t="s">
        <v>504</v>
      </c>
      <c r="C57" s="84" t="s">
        <v>505</v>
      </c>
      <c r="D57" s="84">
        <v>40</v>
      </c>
      <c r="E57" s="89"/>
      <c r="F57" s="90" t="s">
        <v>506</v>
      </c>
      <c r="G57" s="91">
        <v>17.212048</v>
      </c>
      <c r="H57" s="92"/>
    </row>
    <row r="58" spans="2:8" ht="12.75">
      <c r="B58" s="88" t="s">
        <v>507</v>
      </c>
      <c r="C58" s="84" t="s">
        <v>508</v>
      </c>
      <c r="D58" s="84">
        <v>44</v>
      </c>
      <c r="E58" s="89"/>
      <c r="F58" s="90" t="s">
        <v>509</v>
      </c>
      <c r="G58" s="91">
        <v>18.933252799999998</v>
      </c>
      <c r="H58" s="92"/>
    </row>
    <row r="59" spans="2:8" ht="13.5" thickBot="1">
      <c r="B59" s="111" t="s">
        <v>510</v>
      </c>
      <c r="C59" s="112" t="s">
        <v>511</v>
      </c>
      <c r="D59" s="112">
        <v>40</v>
      </c>
      <c r="E59" s="113"/>
      <c r="F59" s="114" t="s">
        <v>449</v>
      </c>
      <c r="G59" s="115">
        <v>18.933252799999998</v>
      </c>
      <c r="H59" s="116"/>
    </row>
    <row r="60" spans="2:8" ht="14.25">
      <c r="B60" s="117" t="s">
        <v>512</v>
      </c>
      <c r="F60" s="74"/>
      <c r="G60" s="74"/>
      <c r="H60" s="74"/>
    </row>
    <row r="61" spans="2:8" ht="14.25">
      <c r="B61" s="117" t="s">
        <v>513</v>
      </c>
      <c r="F61" s="74"/>
      <c r="G61" s="74"/>
      <c r="H61" s="74"/>
    </row>
    <row r="62" spans="2:8" ht="15.75">
      <c r="B62" s="117" t="s">
        <v>635</v>
      </c>
      <c r="F62" s="74"/>
      <c r="G62" s="74"/>
      <c r="H62" s="74"/>
    </row>
    <row r="63" spans="2:8" ht="14.25">
      <c r="B63" s="117" t="s">
        <v>636</v>
      </c>
      <c r="F63" s="74"/>
      <c r="G63" s="74"/>
      <c r="H63" s="74"/>
    </row>
    <row r="64" spans="2:8" ht="14.25">
      <c r="B64" s="117" t="s">
        <v>637</v>
      </c>
      <c r="F64" s="74"/>
      <c r="G64" s="74"/>
      <c r="H64" s="74"/>
    </row>
    <row r="65" spans="2:8" ht="14.25">
      <c r="B65" s="117" t="s">
        <v>638</v>
      </c>
      <c r="F65" s="74"/>
      <c r="G65" s="74"/>
      <c r="H65" s="74"/>
    </row>
    <row r="66" spans="2:8" ht="14.25">
      <c r="B66" s="117"/>
      <c r="F66" s="74"/>
      <c r="G66" s="74"/>
      <c r="H66" s="74"/>
    </row>
    <row r="67" spans="2:8" ht="12.75">
      <c r="B67" s="118" t="s">
        <v>514</v>
      </c>
      <c r="F67" s="74"/>
      <c r="G67" s="74"/>
      <c r="H67" s="74"/>
    </row>
    <row r="68" spans="2:8" ht="34.5" customHeight="1">
      <c r="B68" s="662" t="s">
        <v>515</v>
      </c>
      <c r="C68" s="662"/>
      <c r="D68" s="662"/>
      <c r="E68" s="662"/>
      <c r="F68" s="662"/>
      <c r="G68" s="662"/>
      <c r="H68" s="662"/>
    </row>
    <row r="69" spans="2:8" ht="16.5" customHeight="1">
      <c r="B69" s="662" t="s">
        <v>516</v>
      </c>
      <c r="C69" s="662"/>
      <c r="D69" s="662"/>
      <c r="E69" s="662"/>
      <c r="F69" s="662"/>
      <c r="G69" s="662"/>
      <c r="H69" s="662"/>
    </row>
    <row r="70" spans="2:8" ht="15.75" customHeight="1">
      <c r="B70" s="662" t="s">
        <v>517</v>
      </c>
      <c r="C70" s="662"/>
      <c r="D70" s="662"/>
      <c r="E70" s="662"/>
      <c r="F70" s="662"/>
      <c r="G70" s="662"/>
      <c r="H70" s="662"/>
    </row>
    <row r="71" spans="2:8" ht="12.75">
      <c r="B71" s="119"/>
      <c r="C71" s="119"/>
      <c r="D71" s="119"/>
      <c r="E71" s="119"/>
      <c r="F71" s="119"/>
      <c r="G71" s="119"/>
      <c r="H71" s="119"/>
    </row>
    <row r="72" spans="2:8" ht="12.75">
      <c r="B72" s="482" t="s">
        <v>19</v>
      </c>
      <c r="F72" s="74"/>
      <c r="G72" s="74"/>
      <c r="H72" s="74"/>
    </row>
    <row r="73" spans="6:8" ht="12.75">
      <c r="F73" s="74"/>
      <c r="G73" s="74"/>
      <c r="H73" s="74"/>
    </row>
    <row r="74" spans="6:8" ht="12.75">
      <c r="F74" s="74"/>
      <c r="G74" s="74"/>
      <c r="H74" s="74"/>
    </row>
    <row r="75" spans="6:8" ht="12.75">
      <c r="F75" s="74"/>
      <c r="G75" s="74"/>
      <c r="H75" s="74"/>
    </row>
    <row r="76" spans="6:8" ht="12.75">
      <c r="F76" s="74"/>
      <c r="G76" s="74"/>
      <c r="H76" s="74"/>
    </row>
    <row r="77" spans="6:8" ht="12.75">
      <c r="F77" s="74"/>
      <c r="G77" s="74"/>
      <c r="H77" s="74"/>
    </row>
    <row r="78" spans="6:8" ht="12.75">
      <c r="F78" s="74"/>
      <c r="G78" s="74"/>
      <c r="H78" s="74"/>
    </row>
    <row r="79" spans="6:8" ht="12.75">
      <c r="F79" s="74"/>
      <c r="G79" s="74"/>
      <c r="H79" s="74"/>
    </row>
    <row r="80" spans="6:8" ht="12.75">
      <c r="F80" s="74"/>
      <c r="G80" s="74"/>
      <c r="H80" s="74"/>
    </row>
    <row r="81" spans="6:8" ht="12.75">
      <c r="F81" s="74"/>
      <c r="G81" s="74"/>
      <c r="H81" s="74"/>
    </row>
    <row r="82" spans="6:8" ht="12.75">
      <c r="F82" s="74"/>
      <c r="G82" s="74"/>
      <c r="H82" s="74"/>
    </row>
    <row r="83" spans="6:8" ht="12.75">
      <c r="F83" s="74"/>
      <c r="G83" s="74"/>
      <c r="H83" s="74"/>
    </row>
    <row r="84" spans="6:8" ht="12.75">
      <c r="F84" s="74"/>
      <c r="G84" s="74"/>
      <c r="H84" s="74"/>
    </row>
    <row r="85" spans="6:8" ht="12.75">
      <c r="F85" s="74"/>
      <c r="G85" s="74"/>
      <c r="H85" s="74"/>
    </row>
    <row r="86" spans="6:8" ht="12.75">
      <c r="F86" s="74"/>
      <c r="G86" s="74"/>
      <c r="H86" s="74"/>
    </row>
    <row r="87" spans="6:8" ht="12.75">
      <c r="F87" s="74"/>
      <c r="G87" s="74"/>
      <c r="H87" s="74"/>
    </row>
    <row r="88" spans="6:8" ht="12.75">
      <c r="F88" s="74"/>
      <c r="G88" s="74"/>
      <c r="H88" s="74"/>
    </row>
    <row r="89" spans="6:8" ht="12.75">
      <c r="F89" s="74"/>
      <c r="G89" s="74"/>
      <c r="H89" s="74"/>
    </row>
    <row r="90" spans="6:8" ht="12.75">
      <c r="F90" s="74"/>
      <c r="G90" s="74"/>
      <c r="H90" s="74"/>
    </row>
    <row r="91" spans="6:8" ht="12.75">
      <c r="F91" s="74"/>
      <c r="G91" s="74"/>
      <c r="H91" s="74"/>
    </row>
    <row r="92" spans="6:8" ht="12.75">
      <c r="F92" s="74"/>
      <c r="G92" s="74"/>
      <c r="H92" s="74"/>
    </row>
    <row r="93" spans="6:8" ht="12.75">
      <c r="F93" s="74"/>
      <c r="G93" s="74"/>
      <c r="H93" s="74"/>
    </row>
    <row r="94" spans="6:8" ht="12.75">
      <c r="F94" s="74"/>
      <c r="G94" s="74"/>
      <c r="H94" s="74"/>
    </row>
    <row r="95" spans="6:8" ht="12.75">
      <c r="F95" s="74"/>
      <c r="G95" s="74"/>
      <c r="H95" s="74"/>
    </row>
    <row r="96" spans="6:8" ht="12.75">
      <c r="F96" s="74"/>
      <c r="G96" s="74"/>
      <c r="H96" s="74"/>
    </row>
    <row r="97" spans="6:8" ht="12.75">
      <c r="F97" s="74"/>
      <c r="G97" s="74"/>
      <c r="H97" s="74"/>
    </row>
    <row r="98" spans="6:8" ht="12.75">
      <c r="F98" s="74"/>
      <c r="G98" s="74"/>
      <c r="H98" s="74"/>
    </row>
  </sheetData>
  <sheetProtection/>
  <mergeCells count="4">
    <mergeCell ref="B68:H68"/>
    <mergeCell ref="B69:H69"/>
    <mergeCell ref="B70:H70"/>
    <mergeCell ref="A1:H1"/>
  </mergeCells>
  <printOptions/>
  <pageMargins left="0.75" right="0.75" top="1" bottom="1" header="0.5" footer="0.5"/>
  <pageSetup horizontalDpi="600" verticalDpi="600" orientation="portrait" scale="70" r:id="rId2"/>
  <drawing r:id="rId1"/>
</worksheet>
</file>

<file path=xl/worksheets/sheet6.xml><?xml version="1.0" encoding="utf-8"?>
<worksheet xmlns="http://schemas.openxmlformats.org/spreadsheetml/2006/main" xmlns:r="http://schemas.openxmlformats.org/officeDocument/2006/relationships">
  <sheetPr codeName="Sheet6"/>
  <dimension ref="A1:M68"/>
  <sheetViews>
    <sheetView workbookViewId="0" topLeftCell="A1">
      <pane ySplit="4" topLeftCell="BM50" activePane="bottomLeft" state="frozen"/>
      <selection pane="topLeft" activeCell="A1" sqref="A1"/>
      <selection pane="bottomLeft" activeCell="B68" sqref="B68"/>
    </sheetView>
  </sheetViews>
  <sheetFormatPr defaultColWidth="9.140625" defaultRowHeight="12.75"/>
  <cols>
    <col min="1" max="1" width="3.421875" style="20" customWidth="1"/>
    <col min="2" max="2" width="25.421875" style="121" customWidth="1"/>
    <col min="3" max="3" width="10.140625" style="20" customWidth="1"/>
    <col min="4" max="4" width="10.421875" style="20" bestFit="1" customWidth="1"/>
    <col min="5" max="5" width="10.140625" style="20" customWidth="1"/>
    <col min="6" max="6" width="10.421875" style="20" bestFit="1" customWidth="1"/>
    <col min="7" max="7" width="11.28125" style="20" customWidth="1"/>
    <col min="8" max="8" width="10.421875" style="20" bestFit="1" customWidth="1"/>
    <col min="9" max="9" width="10.140625" style="20" customWidth="1"/>
    <col min="10" max="10" width="10.421875" style="87" bestFit="1" customWidth="1"/>
    <col min="11" max="16384" width="9.140625" style="20" customWidth="1"/>
  </cols>
  <sheetData>
    <row r="1" spans="1:6" s="546" customFormat="1" ht="39.75" customHeight="1" thickBot="1">
      <c r="A1" s="547" t="s">
        <v>518</v>
      </c>
      <c r="E1" s="548"/>
      <c r="F1" s="548"/>
    </row>
    <row r="2" spans="5:6" ht="14.25" thickBot="1" thickTop="1">
      <c r="E2" s="74"/>
      <c r="F2" s="74"/>
    </row>
    <row r="3" spans="2:10" ht="14.25">
      <c r="B3" s="122"/>
      <c r="C3" s="664" t="s">
        <v>639</v>
      </c>
      <c r="D3" s="664"/>
      <c r="E3" s="664" t="s">
        <v>640</v>
      </c>
      <c r="F3" s="664"/>
      <c r="G3" s="664" t="s">
        <v>641</v>
      </c>
      <c r="H3" s="664"/>
      <c r="I3" s="664" t="s">
        <v>642</v>
      </c>
      <c r="J3" s="634"/>
    </row>
    <row r="4" spans="2:10" ht="13.5" thickBot="1">
      <c r="B4" s="123" t="s">
        <v>389</v>
      </c>
      <c r="C4" s="81" t="s">
        <v>390</v>
      </c>
      <c r="D4" s="81" t="s">
        <v>391</v>
      </c>
      <c r="E4" s="81" t="s">
        <v>390</v>
      </c>
      <c r="F4" s="81" t="s">
        <v>391</v>
      </c>
      <c r="G4" s="81" t="s">
        <v>390</v>
      </c>
      <c r="H4" s="81" t="s">
        <v>391</v>
      </c>
      <c r="I4" s="81" t="s">
        <v>390</v>
      </c>
      <c r="J4" s="124" t="s">
        <v>391</v>
      </c>
    </row>
    <row r="5" spans="2:10" ht="12.75">
      <c r="B5" s="125" t="s">
        <v>392</v>
      </c>
      <c r="C5" s="126"/>
      <c r="D5" s="126"/>
      <c r="E5" s="84"/>
      <c r="F5" s="84"/>
      <c r="G5" s="126"/>
      <c r="H5" s="126"/>
      <c r="I5" s="84"/>
      <c r="J5" s="86"/>
    </row>
    <row r="6" spans="2:10" ht="12.75">
      <c r="B6" s="127" t="s">
        <v>393</v>
      </c>
      <c r="C6" s="128"/>
      <c r="D6" s="128"/>
      <c r="E6" s="129"/>
      <c r="F6" s="129"/>
      <c r="G6" s="128"/>
      <c r="H6" s="128"/>
      <c r="I6" s="130"/>
      <c r="J6" s="131"/>
    </row>
    <row r="7" spans="2:10" ht="12.75">
      <c r="B7" s="127" t="s">
        <v>287</v>
      </c>
      <c r="C7" s="128"/>
      <c r="D7" s="128"/>
      <c r="E7" s="129"/>
      <c r="F7" s="129"/>
      <c r="G7" s="128"/>
      <c r="H7" s="128"/>
      <c r="I7" s="130"/>
      <c r="J7" s="131"/>
    </row>
    <row r="8" spans="2:10" ht="12.75">
      <c r="B8" s="127" t="s">
        <v>291</v>
      </c>
      <c r="C8" s="128"/>
      <c r="D8" s="128"/>
      <c r="E8" s="132"/>
      <c r="F8" s="129"/>
      <c r="G8" s="128"/>
      <c r="H8" s="128"/>
      <c r="I8" s="130"/>
      <c r="J8" s="131"/>
    </row>
    <row r="9" spans="2:10" ht="12.75">
      <c r="B9" s="127" t="s">
        <v>404</v>
      </c>
      <c r="C9" s="128"/>
      <c r="D9" s="128"/>
      <c r="E9" s="132"/>
      <c r="F9" s="129"/>
      <c r="G9" s="128"/>
      <c r="H9" s="128"/>
      <c r="I9" s="130"/>
      <c r="J9" s="131"/>
    </row>
    <row r="10" spans="2:10" ht="12.75">
      <c r="B10" s="127" t="s">
        <v>408</v>
      </c>
      <c r="C10" s="128"/>
      <c r="D10" s="128"/>
      <c r="E10" s="129"/>
      <c r="F10" s="129"/>
      <c r="G10" s="128"/>
      <c r="H10" s="128"/>
      <c r="I10" s="130"/>
      <c r="J10" s="131"/>
    </row>
    <row r="11" spans="2:10" ht="12.75">
      <c r="B11" s="127" t="s">
        <v>411</v>
      </c>
      <c r="C11" s="128"/>
      <c r="D11" s="128"/>
      <c r="E11" s="129"/>
      <c r="F11" s="129"/>
      <c r="G11" s="128"/>
      <c r="H11" s="128"/>
      <c r="I11" s="130"/>
      <c r="J11" s="131"/>
    </row>
    <row r="12" spans="2:10" ht="12.75">
      <c r="B12" s="133" t="s">
        <v>415</v>
      </c>
      <c r="C12" s="134"/>
      <c r="D12" s="134"/>
      <c r="E12" s="135"/>
      <c r="F12" s="136"/>
      <c r="G12" s="134"/>
      <c r="H12" s="134"/>
      <c r="I12" s="137"/>
      <c r="J12" s="138"/>
    </row>
    <row r="13" spans="2:10" ht="12.75">
      <c r="B13" s="125" t="s">
        <v>643</v>
      </c>
      <c r="C13" s="126"/>
      <c r="D13" s="126"/>
      <c r="E13" s="84"/>
      <c r="F13" s="84"/>
      <c r="G13" s="126"/>
      <c r="H13" s="126"/>
      <c r="I13" s="90"/>
      <c r="J13" s="92"/>
    </row>
    <row r="14" spans="2:10" ht="12.75">
      <c r="B14" s="127" t="s">
        <v>294</v>
      </c>
      <c r="C14" s="84" t="s">
        <v>519</v>
      </c>
      <c r="D14" s="139">
        <v>0.69</v>
      </c>
      <c r="E14" s="129"/>
      <c r="F14" s="129"/>
      <c r="G14" s="84" t="s">
        <v>520</v>
      </c>
      <c r="H14" s="140">
        <v>0.043</v>
      </c>
      <c r="I14" s="129"/>
      <c r="J14" s="141"/>
    </row>
    <row r="15" spans="2:12" ht="12.75">
      <c r="B15" s="127" t="s">
        <v>420</v>
      </c>
      <c r="C15" s="84" t="s">
        <v>519</v>
      </c>
      <c r="D15" s="139">
        <v>0.69</v>
      </c>
      <c r="E15" s="129"/>
      <c r="F15" s="129"/>
      <c r="G15" s="84" t="s">
        <v>521</v>
      </c>
      <c r="H15" s="140">
        <v>0.043</v>
      </c>
      <c r="I15" s="129"/>
      <c r="J15" s="141"/>
      <c r="K15" s="142"/>
      <c r="L15" s="142"/>
    </row>
    <row r="16" spans="2:10" ht="12.75">
      <c r="B16" s="127" t="s">
        <v>359</v>
      </c>
      <c r="C16" s="84" t="s">
        <v>423</v>
      </c>
      <c r="D16" s="143">
        <v>0.6679999999999999</v>
      </c>
      <c r="E16" s="129"/>
      <c r="F16" s="129"/>
      <c r="G16" s="84" t="s">
        <v>423</v>
      </c>
      <c r="H16" s="140">
        <v>0.042</v>
      </c>
      <c r="I16" s="129"/>
      <c r="J16" s="141"/>
    </row>
    <row r="17" spans="2:10" ht="12.75">
      <c r="B17" s="127" t="s">
        <v>424</v>
      </c>
      <c r="C17" s="84" t="s">
        <v>423</v>
      </c>
      <c r="D17" s="139">
        <v>1.264</v>
      </c>
      <c r="E17" s="129"/>
      <c r="F17" s="144"/>
      <c r="G17" s="84" t="s">
        <v>423</v>
      </c>
      <c r="H17" s="140">
        <v>0.079</v>
      </c>
      <c r="I17" s="144"/>
      <c r="J17" s="145"/>
    </row>
    <row r="18" spans="2:10" ht="12.75">
      <c r="B18" s="127" t="s">
        <v>289</v>
      </c>
      <c r="C18" s="84" t="s">
        <v>423</v>
      </c>
      <c r="D18" s="139">
        <v>1.882</v>
      </c>
      <c r="E18" s="129"/>
      <c r="F18" s="144"/>
      <c r="G18" s="84" t="s">
        <v>423</v>
      </c>
      <c r="H18" s="143">
        <v>0.12</v>
      </c>
      <c r="I18" s="144"/>
      <c r="J18" s="145"/>
    </row>
    <row r="19" spans="2:10" ht="12.75">
      <c r="B19" s="127" t="s">
        <v>288</v>
      </c>
      <c r="C19" s="84" t="s">
        <v>423</v>
      </c>
      <c r="D19" s="84">
        <v>2.5</v>
      </c>
      <c r="E19" s="129"/>
      <c r="F19" s="144"/>
      <c r="G19" s="84" t="s">
        <v>423</v>
      </c>
      <c r="H19" s="143">
        <v>0.16</v>
      </c>
      <c r="I19" s="144"/>
      <c r="J19" s="145"/>
    </row>
    <row r="20" spans="2:10" ht="12.75">
      <c r="B20" s="146" t="s">
        <v>425</v>
      </c>
      <c r="C20" s="84" t="s">
        <v>423</v>
      </c>
      <c r="D20" s="84">
        <v>2.5</v>
      </c>
      <c r="E20" s="128"/>
      <c r="F20" s="144"/>
      <c r="G20" s="84" t="s">
        <v>423</v>
      </c>
      <c r="H20" s="143">
        <v>0.16</v>
      </c>
      <c r="I20" s="144"/>
      <c r="J20" s="145"/>
    </row>
    <row r="21" spans="2:10" ht="12.75">
      <c r="B21" s="146" t="s">
        <v>426</v>
      </c>
      <c r="C21" s="84" t="s">
        <v>423</v>
      </c>
      <c r="D21" s="84">
        <v>2.5</v>
      </c>
      <c r="E21" s="128"/>
      <c r="F21" s="144"/>
      <c r="G21" s="84" t="s">
        <v>423</v>
      </c>
      <c r="H21" s="143">
        <v>0.16</v>
      </c>
      <c r="I21" s="144"/>
      <c r="J21" s="145"/>
    </row>
    <row r="22" spans="2:10" ht="12.75">
      <c r="B22" s="133" t="s">
        <v>427</v>
      </c>
      <c r="C22" s="134"/>
      <c r="D22" s="134"/>
      <c r="E22" s="101" t="s">
        <v>522</v>
      </c>
      <c r="F22" s="147">
        <v>0.47</v>
      </c>
      <c r="G22" s="134"/>
      <c r="H22" s="134"/>
      <c r="I22" s="101" t="s">
        <v>523</v>
      </c>
      <c r="J22" s="148">
        <v>3.9</v>
      </c>
    </row>
    <row r="23" spans="2:10" ht="12.75">
      <c r="B23" s="125" t="s">
        <v>430</v>
      </c>
      <c r="C23" s="126"/>
      <c r="D23" s="126"/>
      <c r="E23" s="149"/>
      <c r="F23" s="84"/>
      <c r="G23" s="126"/>
      <c r="H23" s="126"/>
      <c r="I23" s="90"/>
      <c r="J23" s="92"/>
    </row>
    <row r="24" spans="2:11" ht="12.75">
      <c r="B24" s="127" t="s">
        <v>431</v>
      </c>
      <c r="C24" s="128"/>
      <c r="D24" s="128"/>
      <c r="E24" s="90" t="s">
        <v>524</v>
      </c>
      <c r="F24" s="84">
        <v>0.8</v>
      </c>
      <c r="G24" s="128"/>
      <c r="H24" s="128"/>
      <c r="I24" s="90" t="s">
        <v>525</v>
      </c>
      <c r="J24" s="150">
        <v>6.7</v>
      </c>
      <c r="K24" s="151"/>
    </row>
    <row r="25" spans="2:11" ht="12.75">
      <c r="B25" s="127" t="s">
        <v>434</v>
      </c>
      <c r="C25" s="128"/>
      <c r="D25" s="128"/>
      <c r="E25" s="90" t="s">
        <v>526</v>
      </c>
      <c r="F25" s="84">
        <v>0.74</v>
      </c>
      <c r="G25" s="128"/>
      <c r="H25" s="128"/>
      <c r="I25" s="90" t="s">
        <v>527</v>
      </c>
      <c r="J25" s="150">
        <v>6.2</v>
      </c>
      <c r="K25" s="151"/>
    </row>
    <row r="26" spans="2:11" ht="12.75">
      <c r="B26" s="127" t="s">
        <v>278</v>
      </c>
      <c r="C26" s="128"/>
      <c r="D26" s="128"/>
      <c r="E26" s="90" t="s">
        <v>528</v>
      </c>
      <c r="F26" s="84">
        <v>0.71</v>
      </c>
      <c r="G26" s="128"/>
      <c r="H26" s="128"/>
      <c r="I26" s="90" t="s">
        <v>529</v>
      </c>
      <c r="J26" s="150">
        <v>5.9</v>
      </c>
      <c r="K26" s="151"/>
    </row>
    <row r="27" spans="2:11" ht="12.75">
      <c r="B27" s="127" t="s">
        <v>439</v>
      </c>
      <c r="C27" s="128"/>
      <c r="D27" s="128"/>
      <c r="E27" s="90" t="s">
        <v>530</v>
      </c>
      <c r="F27" s="84">
        <v>0.84</v>
      </c>
      <c r="G27" s="128"/>
      <c r="H27" s="128"/>
      <c r="I27" s="90" t="s">
        <v>531</v>
      </c>
      <c r="J27" s="150">
        <v>7</v>
      </c>
      <c r="K27" s="151"/>
    </row>
    <row r="28" spans="2:11" ht="12.75">
      <c r="B28" s="146" t="s">
        <v>280</v>
      </c>
      <c r="C28" s="152"/>
      <c r="D28" s="152"/>
      <c r="E28" s="90" t="s">
        <v>532</v>
      </c>
      <c r="F28" s="84">
        <v>0.84</v>
      </c>
      <c r="G28" s="152"/>
      <c r="H28" s="152"/>
      <c r="I28" s="90" t="s">
        <v>533</v>
      </c>
      <c r="J28" s="150">
        <v>7</v>
      </c>
      <c r="K28" s="151"/>
    </row>
    <row r="29" spans="2:11" ht="12.75">
      <c r="B29" s="146" t="s">
        <v>281</v>
      </c>
      <c r="C29" s="152"/>
      <c r="D29" s="152"/>
      <c r="E29" s="90" t="s">
        <v>532</v>
      </c>
      <c r="F29" s="84">
        <v>0.85</v>
      </c>
      <c r="G29" s="152"/>
      <c r="H29" s="152"/>
      <c r="I29" s="90" t="s">
        <v>533</v>
      </c>
      <c r="J29" s="150">
        <v>7.1</v>
      </c>
      <c r="K29" s="151"/>
    </row>
    <row r="30" spans="2:11" ht="12.75">
      <c r="B30" s="146" t="s">
        <v>445</v>
      </c>
      <c r="C30" s="152"/>
      <c r="D30" s="152"/>
      <c r="E30" s="90" t="s">
        <v>534</v>
      </c>
      <c r="F30" s="84">
        <v>0.93</v>
      </c>
      <c r="G30" s="152"/>
      <c r="H30" s="152"/>
      <c r="I30" s="90" t="s">
        <v>535</v>
      </c>
      <c r="J30" s="150">
        <v>7.8</v>
      </c>
      <c r="K30" s="151"/>
    </row>
    <row r="31" spans="2:11" ht="12.75">
      <c r="B31" s="127" t="s">
        <v>447</v>
      </c>
      <c r="C31" s="128"/>
      <c r="D31" s="128"/>
      <c r="E31" s="90" t="s">
        <v>536</v>
      </c>
      <c r="F31" s="84">
        <v>0.94</v>
      </c>
      <c r="G31" s="128"/>
      <c r="H31" s="128"/>
      <c r="I31" s="90" t="s">
        <v>537</v>
      </c>
      <c r="J31" s="150">
        <v>7.8</v>
      </c>
      <c r="K31" s="151"/>
    </row>
    <row r="32" spans="2:11" ht="12.75">
      <c r="B32" s="146" t="s">
        <v>450</v>
      </c>
      <c r="C32" s="152"/>
      <c r="D32" s="152"/>
      <c r="E32" s="90" t="s">
        <v>538</v>
      </c>
      <c r="F32" s="84">
        <v>0.94</v>
      </c>
      <c r="G32" s="152"/>
      <c r="H32" s="152"/>
      <c r="I32" s="90" t="s">
        <v>539</v>
      </c>
      <c r="J32" s="150">
        <v>7.8</v>
      </c>
      <c r="K32" s="151"/>
    </row>
    <row r="33" spans="2:11" ht="12.75">
      <c r="B33" s="146" t="s">
        <v>453</v>
      </c>
      <c r="C33" s="152"/>
      <c r="D33" s="152"/>
      <c r="E33" s="90" t="s">
        <v>540</v>
      </c>
      <c r="F33" s="84">
        <v>0.94</v>
      </c>
      <c r="G33" s="152"/>
      <c r="H33" s="152"/>
      <c r="I33" s="90" t="s">
        <v>541</v>
      </c>
      <c r="J33" s="150">
        <v>7.8</v>
      </c>
      <c r="K33" s="151"/>
    </row>
    <row r="34" spans="2:11" ht="12.75">
      <c r="B34" s="127" t="s">
        <v>269</v>
      </c>
      <c r="C34" s="128"/>
      <c r="D34" s="128"/>
      <c r="E34" s="90" t="s">
        <v>542</v>
      </c>
      <c r="F34" s="84">
        <v>0.79</v>
      </c>
      <c r="G34" s="128"/>
      <c r="H34" s="128"/>
      <c r="I34" s="90" t="s">
        <v>543</v>
      </c>
      <c r="J34" s="150">
        <v>6.6</v>
      </c>
      <c r="K34" s="151"/>
    </row>
    <row r="35" spans="2:11" ht="12.75">
      <c r="B35" s="127" t="s">
        <v>456</v>
      </c>
      <c r="C35" s="128"/>
      <c r="D35" s="128"/>
      <c r="E35" s="90" t="s">
        <v>544</v>
      </c>
      <c r="F35" s="143">
        <v>0.8</v>
      </c>
      <c r="G35" s="128"/>
      <c r="H35" s="128"/>
      <c r="I35" s="90" t="s">
        <v>545</v>
      </c>
      <c r="J35" s="150">
        <v>6.7</v>
      </c>
      <c r="K35" s="151"/>
    </row>
    <row r="36" spans="2:11" ht="12.75">
      <c r="B36" s="127" t="s">
        <v>349</v>
      </c>
      <c r="C36" s="128"/>
      <c r="D36" s="128"/>
      <c r="E36" s="84"/>
      <c r="F36" s="84"/>
      <c r="G36" s="128"/>
      <c r="H36" s="128"/>
      <c r="I36" s="90"/>
      <c r="J36" s="92"/>
      <c r="K36" s="151"/>
    </row>
    <row r="37" spans="2:11" ht="12.75">
      <c r="B37" s="127" t="s">
        <v>263</v>
      </c>
      <c r="C37" s="128"/>
      <c r="D37" s="128"/>
      <c r="E37" s="90" t="s">
        <v>546</v>
      </c>
      <c r="F37" s="84">
        <v>0.54</v>
      </c>
      <c r="G37" s="128"/>
      <c r="H37" s="128"/>
      <c r="I37" s="90" t="s">
        <v>547</v>
      </c>
      <c r="J37" s="150">
        <v>4.5</v>
      </c>
      <c r="K37" s="151"/>
    </row>
    <row r="38" spans="2:11" ht="12.75">
      <c r="B38" s="127" t="s">
        <v>462</v>
      </c>
      <c r="C38" s="128"/>
      <c r="D38" s="128"/>
      <c r="E38" s="90" t="s">
        <v>548</v>
      </c>
      <c r="F38" s="84">
        <v>0.77</v>
      </c>
      <c r="G38" s="128"/>
      <c r="H38" s="128"/>
      <c r="I38" s="90" t="s">
        <v>549</v>
      </c>
      <c r="J38" s="150">
        <v>6.4</v>
      </c>
      <c r="K38" s="151"/>
    </row>
    <row r="39" spans="2:11" s="158" customFormat="1" ht="12.75">
      <c r="B39" s="127" t="s">
        <v>465</v>
      </c>
      <c r="C39" s="153"/>
      <c r="D39" s="153"/>
      <c r="E39" s="154"/>
      <c r="F39" s="155"/>
      <c r="G39" s="153"/>
      <c r="H39" s="153"/>
      <c r="I39" s="156"/>
      <c r="J39" s="157"/>
      <c r="K39" s="151"/>
    </row>
    <row r="40" spans="2:11" s="158" customFormat="1" ht="12.75">
      <c r="B40" s="127" t="s">
        <v>468</v>
      </c>
      <c r="C40" s="153"/>
      <c r="D40" s="153"/>
      <c r="E40" s="154"/>
      <c r="F40" s="154"/>
      <c r="G40" s="153"/>
      <c r="H40" s="153"/>
      <c r="I40" s="156"/>
      <c r="J40" s="157"/>
      <c r="K40" s="151"/>
    </row>
    <row r="41" spans="2:11" ht="12.75">
      <c r="B41" s="127" t="s">
        <v>285</v>
      </c>
      <c r="C41" s="128"/>
      <c r="D41" s="128"/>
      <c r="E41" s="90" t="s">
        <v>550</v>
      </c>
      <c r="F41" s="139">
        <v>1</v>
      </c>
      <c r="G41" s="128"/>
      <c r="H41" s="128"/>
      <c r="I41" s="90" t="s">
        <v>551</v>
      </c>
      <c r="J41" s="150">
        <v>8.3</v>
      </c>
      <c r="K41" s="151"/>
    </row>
    <row r="42" spans="2:11" ht="12.75">
      <c r="B42" s="127" t="s">
        <v>472</v>
      </c>
      <c r="C42" s="128"/>
      <c r="D42" s="128"/>
      <c r="E42" s="84"/>
      <c r="F42" s="84"/>
      <c r="G42" s="128"/>
      <c r="H42" s="128"/>
      <c r="I42" s="90"/>
      <c r="J42" s="92"/>
      <c r="K42" s="151"/>
    </row>
    <row r="43" spans="2:11" ht="12.75">
      <c r="B43" s="127" t="s">
        <v>474</v>
      </c>
      <c r="C43" s="128"/>
      <c r="D43" s="128"/>
      <c r="E43" s="90" t="s">
        <v>552</v>
      </c>
      <c r="F43" s="139">
        <v>1</v>
      </c>
      <c r="G43" s="128"/>
      <c r="H43" s="128"/>
      <c r="I43" s="90" t="s">
        <v>553</v>
      </c>
      <c r="J43" s="150">
        <v>8.3</v>
      </c>
      <c r="K43" s="151"/>
    </row>
    <row r="44" spans="2:11" ht="12.75">
      <c r="B44" s="133" t="s">
        <v>477</v>
      </c>
      <c r="C44" s="134"/>
      <c r="D44" s="134"/>
      <c r="E44" s="159"/>
      <c r="F44" s="136"/>
      <c r="G44" s="134"/>
      <c r="H44" s="134"/>
      <c r="I44" s="137"/>
      <c r="J44" s="138"/>
      <c r="K44" s="151"/>
    </row>
    <row r="45" spans="2:11" ht="12.75">
      <c r="B45" s="125" t="s">
        <v>479</v>
      </c>
      <c r="C45" s="126"/>
      <c r="D45" s="126"/>
      <c r="E45" s="84"/>
      <c r="F45" s="84"/>
      <c r="G45" s="126"/>
      <c r="H45" s="126"/>
      <c r="I45" s="90"/>
      <c r="J45" s="92"/>
      <c r="K45" s="151"/>
    </row>
    <row r="46" spans="2:11" ht="12.75">
      <c r="B46" s="127" t="s">
        <v>554</v>
      </c>
      <c r="C46" s="128"/>
      <c r="D46" s="128"/>
      <c r="E46" s="129"/>
      <c r="F46" s="129"/>
      <c r="G46" s="128"/>
      <c r="H46" s="128"/>
      <c r="I46" s="130"/>
      <c r="J46" s="131"/>
      <c r="K46" s="151"/>
    </row>
    <row r="47" spans="2:11" ht="12.75">
      <c r="B47" s="127" t="s">
        <v>482</v>
      </c>
      <c r="C47" s="128"/>
      <c r="D47" s="128"/>
      <c r="E47" s="129"/>
      <c r="F47" s="129"/>
      <c r="G47" s="128"/>
      <c r="H47" s="128"/>
      <c r="I47" s="130"/>
      <c r="J47" s="131"/>
      <c r="K47" s="151"/>
    </row>
    <row r="48" spans="2:11" ht="12.75">
      <c r="B48" s="127" t="s">
        <v>485</v>
      </c>
      <c r="C48" s="128"/>
      <c r="D48" s="128"/>
      <c r="E48" s="129"/>
      <c r="F48" s="129"/>
      <c r="G48" s="128"/>
      <c r="H48" s="128"/>
      <c r="I48" s="130"/>
      <c r="J48" s="131"/>
      <c r="K48" s="151"/>
    </row>
    <row r="49" spans="2:11" ht="12.75">
      <c r="B49" s="133" t="s">
        <v>487</v>
      </c>
      <c r="C49" s="134"/>
      <c r="D49" s="134"/>
      <c r="E49" s="136"/>
      <c r="F49" s="136"/>
      <c r="G49" s="134"/>
      <c r="H49" s="134"/>
      <c r="I49" s="137"/>
      <c r="J49" s="138"/>
      <c r="K49" s="151"/>
    </row>
    <row r="50" spans="2:11" ht="12.75">
      <c r="B50" s="125" t="s">
        <v>490</v>
      </c>
      <c r="C50" s="126"/>
      <c r="D50" s="126"/>
      <c r="E50" s="84"/>
      <c r="F50" s="84"/>
      <c r="G50" s="126"/>
      <c r="H50" s="126"/>
      <c r="I50" s="90"/>
      <c r="J50" s="92"/>
      <c r="K50" s="151"/>
    </row>
    <row r="51" spans="2:11" s="158" customFormat="1" ht="12.75">
      <c r="B51" s="127" t="s">
        <v>491</v>
      </c>
      <c r="C51" s="153"/>
      <c r="D51" s="153"/>
      <c r="E51" s="160"/>
      <c r="F51" s="160"/>
      <c r="G51" s="153"/>
      <c r="H51" s="153"/>
      <c r="I51" s="161"/>
      <c r="J51" s="162"/>
      <c r="K51" s="151"/>
    </row>
    <row r="52" spans="2:11" s="158" customFormat="1" ht="12.75">
      <c r="B52" s="127" t="s">
        <v>494</v>
      </c>
      <c r="C52" s="153"/>
      <c r="D52" s="153"/>
      <c r="E52" s="163"/>
      <c r="F52" s="160"/>
      <c r="G52" s="153"/>
      <c r="H52" s="153"/>
      <c r="I52" s="161"/>
      <c r="J52" s="162"/>
      <c r="K52" s="151"/>
    </row>
    <row r="53" spans="2:11" s="158" customFormat="1" ht="12.75">
      <c r="B53" s="127" t="s">
        <v>496</v>
      </c>
      <c r="C53" s="153"/>
      <c r="D53" s="153"/>
      <c r="E53" s="160"/>
      <c r="F53" s="160"/>
      <c r="G53" s="153"/>
      <c r="H53" s="153"/>
      <c r="I53" s="161"/>
      <c r="J53" s="162"/>
      <c r="K53" s="151"/>
    </row>
    <row r="54" spans="2:11" s="158" customFormat="1" ht="12.75">
      <c r="B54" s="127" t="s">
        <v>499</v>
      </c>
      <c r="C54" s="153"/>
      <c r="D54" s="153"/>
      <c r="E54" s="164"/>
      <c r="F54" s="160"/>
      <c r="G54" s="153"/>
      <c r="H54" s="153"/>
      <c r="I54" s="161"/>
      <c r="J54" s="162"/>
      <c r="K54" s="151"/>
    </row>
    <row r="55" spans="2:11" s="158" customFormat="1" ht="12.75">
      <c r="B55" s="127" t="s">
        <v>555</v>
      </c>
      <c r="C55" s="84" t="s">
        <v>556</v>
      </c>
      <c r="D55" s="139">
        <v>0.9</v>
      </c>
      <c r="E55" s="164"/>
      <c r="F55" s="160"/>
      <c r="G55" s="84" t="s">
        <v>557</v>
      </c>
      <c r="H55" s="140">
        <v>0.056</v>
      </c>
      <c r="I55" s="161"/>
      <c r="J55" s="162"/>
      <c r="K55" s="151"/>
    </row>
    <row r="56" spans="2:13" s="158" customFormat="1" ht="12.75">
      <c r="B56" s="127" t="s">
        <v>558</v>
      </c>
      <c r="C56" s="84" t="s">
        <v>556</v>
      </c>
      <c r="D56" s="139">
        <v>0.9</v>
      </c>
      <c r="E56" s="164"/>
      <c r="F56" s="160"/>
      <c r="G56" s="84" t="s">
        <v>559</v>
      </c>
      <c r="H56" s="140">
        <v>0.056</v>
      </c>
      <c r="I56" s="161"/>
      <c r="J56" s="162"/>
      <c r="K56" s="151"/>
      <c r="L56" s="165"/>
      <c r="M56" s="165"/>
    </row>
    <row r="57" spans="2:11" ht="12.75">
      <c r="B57" s="127" t="s">
        <v>504</v>
      </c>
      <c r="C57" s="128"/>
      <c r="D57" s="128"/>
      <c r="E57" s="90" t="s">
        <v>552</v>
      </c>
      <c r="F57" s="143">
        <v>0.845</v>
      </c>
      <c r="G57" s="128"/>
      <c r="H57" s="128"/>
      <c r="I57" s="90" t="s">
        <v>560</v>
      </c>
      <c r="J57" s="150">
        <v>7</v>
      </c>
      <c r="K57" s="151"/>
    </row>
    <row r="58" spans="2:11" ht="12.75">
      <c r="B58" s="127" t="s">
        <v>507</v>
      </c>
      <c r="C58" s="128"/>
      <c r="D58" s="128"/>
      <c r="E58" s="90" t="s">
        <v>423</v>
      </c>
      <c r="F58" s="143">
        <v>0.868</v>
      </c>
      <c r="G58" s="128"/>
      <c r="H58" s="128"/>
      <c r="I58" s="90" t="s">
        <v>423</v>
      </c>
      <c r="J58" s="150">
        <v>7.2</v>
      </c>
      <c r="K58" s="151"/>
    </row>
    <row r="59" spans="2:11" ht="13.5" thickBot="1">
      <c r="B59" s="166" t="s">
        <v>510</v>
      </c>
      <c r="C59" s="167"/>
      <c r="D59" s="167"/>
      <c r="E59" s="114" t="s">
        <v>552</v>
      </c>
      <c r="F59" s="168">
        <v>0.895</v>
      </c>
      <c r="G59" s="167"/>
      <c r="H59" s="167"/>
      <c r="I59" s="114" t="s">
        <v>561</v>
      </c>
      <c r="J59" s="169">
        <v>7.5</v>
      </c>
      <c r="K59" s="151"/>
    </row>
    <row r="60" spans="2:10" ht="14.25">
      <c r="B60" s="117" t="s">
        <v>644</v>
      </c>
      <c r="C60" s="117"/>
      <c r="D60" s="117"/>
      <c r="E60" s="74"/>
      <c r="F60" s="74"/>
      <c r="G60" s="117"/>
      <c r="H60" s="117"/>
      <c r="I60" s="74"/>
      <c r="J60" s="170"/>
    </row>
    <row r="61" spans="2:10" ht="14.25">
      <c r="B61" s="117" t="s">
        <v>645</v>
      </c>
      <c r="C61" s="117"/>
      <c r="D61" s="117"/>
      <c r="E61" s="74"/>
      <c r="F61" s="74"/>
      <c r="G61" s="117"/>
      <c r="H61" s="117"/>
      <c r="I61" s="74"/>
      <c r="J61" s="170"/>
    </row>
    <row r="62" spans="2:10" ht="14.25">
      <c r="B62" s="117" t="s">
        <v>646</v>
      </c>
      <c r="C62" s="117"/>
      <c r="D62" s="117"/>
      <c r="E62" s="74"/>
      <c r="F62" s="74"/>
      <c r="G62" s="117"/>
      <c r="H62" s="117"/>
      <c r="I62" s="74"/>
      <c r="J62" s="170"/>
    </row>
    <row r="64" ht="12.75">
      <c r="B64" s="118" t="s">
        <v>514</v>
      </c>
    </row>
    <row r="65" ht="12.75">
      <c r="B65" s="20" t="s">
        <v>562</v>
      </c>
    </row>
    <row r="66" ht="12.75">
      <c r="B66" s="20" t="s">
        <v>517</v>
      </c>
    </row>
    <row r="68" ht="12.75">
      <c r="B68" s="482" t="s">
        <v>19</v>
      </c>
    </row>
  </sheetData>
  <sheetProtection/>
  <mergeCells count="4">
    <mergeCell ref="C3:D3"/>
    <mergeCell ref="G3:H3"/>
    <mergeCell ref="E3:F3"/>
    <mergeCell ref="I3:J3"/>
  </mergeCell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7"/>
  <dimension ref="A1:J72"/>
  <sheetViews>
    <sheetView workbookViewId="0" topLeftCell="A1">
      <pane ySplit="5" topLeftCell="BM57" activePane="bottomLeft" state="frozen"/>
      <selection pane="topLeft" activeCell="A1" sqref="A1"/>
      <selection pane="bottomLeft" activeCell="B74" sqref="B74"/>
    </sheetView>
  </sheetViews>
  <sheetFormatPr defaultColWidth="9.140625" defaultRowHeight="12.75"/>
  <cols>
    <col min="1" max="1" width="4.421875" style="20" customWidth="1"/>
    <col min="2" max="2" width="24.8515625" style="20" customWidth="1"/>
    <col min="3" max="3" width="11.7109375" style="20" customWidth="1"/>
    <col min="4" max="4" width="11.8515625" style="20" customWidth="1"/>
    <col min="5" max="5" width="13.28125" style="20" bestFit="1" customWidth="1"/>
    <col min="6" max="7" width="10.8515625" style="20" customWidth="1"/>
    <col min="8" max="8" width="13.28125" style="20" bestFit="1" customWidth="1"/>
    <col min="9" max="9" width="3.7109375" style="20" customWidth="1"/>
    <col min="10" max="16384" width="9.140625" style="20" customWidth="1"/>
  </cols>
  <sheetData>
    <row r="1" spans="1:5" s="550" customFormat="1" ht="27">
      <c r="A1" s="549" t="s">
        <v>563</v>
      </c>
      <c r="C1" s="551"/>
      <c r="D1" s="551"/>
      <c r="E1" s="551"/>
    </row>
    <row r="2" spans="1:5" s="553" customFormat="1" ht="16.5" customHeight="1" thickBot="1">
      <c r="A2" s="552" t="s">
        <v>1051</v>
      </c>
      <c r="C2" s="554"/>
      <c r="D2" s="554"/>
      <c r="E2" s="554"/>
    </row>
    <row r="3" spans="2:5" s="182" customFormat="1" ht="12.75" thickBot="1" thickTop="1">
      <c r="B3" s="307"/>
      <c r="C3" s="181"/>
      <c r="D3" s="181"/>
      <c r="E3" s="181"/>
    </row>
    <row r="4" spans="2:8" ht="12.75">
      <c r="B4" s="171"/>
      <c r="C4" s="172" t="s">
        <v>564</v>
      </c>
      <c r="D4" s="78"/>
      <c r="E4" s="78"/>
      <c r="F4" s="76" t="s">
        <v>565</v>
      </c>
      <c r="G4" s="78"/>
      <c r="H4" s="173"/>
    </row>
    <row r="5" spans="2:8" ht="15" thickBot="1">
      <c r="B5" s="123" t="s">
        <v>389</v>
      </c>
      <c r="C5" s="174" t="s">
        <v>390</v>
      </c>
      <c r="D5" s="81" t="s">
        <v>391</v>
      </c>
      <c r="E5" s="82" t="s">
        <v>631</v>
      </c>
      <c r="F5" s="81" t="s">
        <v>390</v>
      </c>
      <c r="G5" s="81" t="s">
        <v>391</v>
      </c>
      <c r="H5" s="124" t="s">
        <v>631</v>
      </c>
    </row>
    <row r="6" spans="2:8" ht="12.75">
      <c r="B6" s="125" t="s">
        <v>392</v>
      </c>
      <c r="C6" s="175"/>
      <c r="D6" s="84"/>
      <c r="E6" s="85"/>
      <c r="F6" s="84"/>
      <c r="G6" s="84"/>
      <c r="H6" s="86"/>
    </row>
    <row r="7" spans="2:8" ht="12.75">
      <c r="B7" s="127" t="s">
        <v>393</v>
      </c>
      <c r="C7" s="176" t="s">
        <v>566</v>
      </c>
      <c r="D7" s="84">
        <v>27</v>
      </c>
      <c r="E7" s="89">
        <v>25.46</v>
      </c>
      <c r="F7" s="90" t="s">
        <v>567</v>
      </c>
      <c r="G7" s="177">
        <v>62.746745767848196</v>
      </c>
      <c r="H7" s="178">
        <v>59.167857305533886</v>
      </c>
    </row>
    <row r="8" spans="2:10" ht="12.75">
      <c r="B8" s="127" t="s">
        <v>287</v>
      </c>
      <c r="C8" s="176" t="s">
        <v>568</v>
      </c>
      <c r="D8" s="84">
        <v>24</v>
      </c>
      <c r="E8" s="89">
        <v>24.51</v>
      </c>
      <c r="F8" s="90" t="s">
        <v>569</v>
      </c>
      <c r="G8" s="91">
        <v>55.77488512697617</v>
      </c>
      <c r="H8" s="150">
        <v>56.96010143592442</v>
      </c>
      <c r="J8" s="93" t="s">
        <v>397</v>
      </c>
    </row>
    <row r="9" spans="2:10" ht="12.75">
      <c r="B9" s="127" t="s">
        <v>291</v>
      </c>
      <c r="C9" s="176" t="s">
        <v>570</v>
      </c>
      <c r="D9" s="84">
        <v>25</v>
      </c>
      <c r="E9" s="89">
        <v>24.89</v>
      </c>
      <c r="F9" s="90" t="s">
        <v>571</v>
      </c>
      <c r="G9" s="91">
        <v>58.098838673933514</v>
      </c>
      <c r="H9" s="150">
        <v>57.84320378376821</v>
      </c>
      <c r="J9" s="95" t="s">
        <v>400</v>
      </c>
    </row>
    <row r="10" spans="2:10" ht="12.75">
      <c r="B10" s="127" t="s">
        <v>404</v>
      </c>
      <c r="C10" s="176" t="s">
        <v>572</v>
      </c>
      <c r="D10" s="84">
        <v>26</v>
      </c>
      <c r="E10" s="89">
        <v>26.22</v>
      </c>
      <c r="F10" s="90" t="s">
        <v>573</v>
      </c>
      <c r="G10" s="91">
        <v>60.42279222089085</v>
      </c>
      <c r="H10" s="150">
        <v>60.93406200122147</v>
      </c>
      <c r="J10" s="95" t="s">
        <v>403</v>
      </c>
    </row>
    <row r="11" spans="2:10" ht="12.75">
      <c r="B11" s="127" t="s">
        <v>408</v>
      </c>
      <c r="C11" s="176" t="s">
        <v>574</v>
      </c>
      <c r="D11" s="84">
        <v>29</v>
      </c>
      <c r="E11" s="89"/>
      <c r="F11" s="90" t="s">
        <v>575</v>
      </c>
      <c r="G11" s="91">
        <v>67.39465286176288</v>
      </c>
      <c r="H11" s="150"/>
      <c r="J11" s="96" t="s">
        <v>407</v>
      </c>
    </row>
    <row r="12" spans="2:10" ht="12.75">
      <c r="B12" s="127" t="s">
        <v>411</v>
      </c>
      <c r="C12" s="176" t="s">
        <v>576</v>
      </c>
      <c r="D12" s="84">
        <v>25</v>
      </c>
      <c r="E12" s="89">
        <v>24.51</v>
      </c>
      <c r="F12" s="90" t="s">
        <v>577</v>
      </c>
      <c r="G12" s="91">
        <v>58.098838673933514</v>
      </c>
      <c r="H12" s="150">
        <v>56.96010143592442</v>
      </c>
      <c r="J12" s="95" t="s">
        <v>410</v>
      </c>
    </row>
    <row r="13" spans="2:10" ht="12.75">
      <c r="B13" s="133" t="s">
        <v>415</v>
      </c>
      <c r="C13" s="179" t="s">
        <v>576</v>
      </c>
      <c r="D13" s="99">
        <v>25</v>
      </c>
      <c r="E13" s="100">
        <v>24.51</v>
      </c>
      <c r="F13" s="101" t="s">
        <v>577</v>
      </c>
      <c r="G13" s="102">
        <v>58.098838673933514</v>
      </c>
      <c r="H13" s="148">
        <v>56.96010143592442</v>
      </c>
      <c r="J13" s="95" t="s">
        <v>414</v>
      </c>
    </row>
    <row r="14" spans="2:8" ht="12.75">
      <c r="B14" s="125" t="s">
        <v>417</v>
      </c>
      <c r="C14" s="176"/>
      <c r="D14" s="84"/>
      <c r="E14" s="89"/>
      <c r="F14" s="90"/>
      <c r="G14" s="91"/>
      <c r="H14" s="150"/>
    </row>
    <row r="15" spans="2:8" ht="12.75">
      <c r="B15" s="127" t="s">
        <v>294</v>
      </c>
      <c r="C15" s="176" t="s">
        <v>578</v>
      </c>
      <c r="D15" s="84">
        <v>14</v>
      </c>
      <c r="E15" s="89"/>
      <c r="F15" s="90" t="s">
        <v>579</v>
      </c>
      <c r="G15" s="91">
        <v>32.53534965740277</v>
      </c>
      <c r="H15" s="150"/>
    </row>
    <row r="16" spans="2:8" ht="12.75">
      <c r="B16" s="127" t="s">
        <v>420</v>
      </c>
      <c r="C16" s="176" t="s">
        <v>578</v>
      </c>
      <c r="D16" s="84">
        <v>14</v>
      </c>
      <c r="E16" s="89">
        <v>13.77</v>
      </c>
      <c r="F16" s="90" t="s">
        <v>579</v>
      </c>
      <c r="G16" s="91">
        <v>32.53534965740277</v>
      </c>
      <c r="H16" s="150">
        <v>32.000840341602576</v>
      </c>
    </row>
    <row r="17" spans="2:8" ht="12.75">
      <c r="B17" s="127" t="s">
        <v>359</v>
      </c>
      <c r="C17" s="175" t="s">
        <v>423</v>
      </c>
      <c r="D17" s="139">
        <v>13.489208633093524</v>
      </c>
      <c r="E17" s="89"/>
      <c r="F17" s="84" t="s">
        <v>423</v>
      </c>
      <c r="G17" s="104">
        <v>31.348294248525274</v>
      </c>
      <c r="H17" s="150"/>
    </row>
    <row r="18" spans="2:8" ht="12.75">
      <c r="B18" s="127" t="s">
        <v>424</v>
      </c>
      <c r="C18" s="175" t="s">
        <v>423</v>
      </c>
      <c r="D18" s="139">
        <v>15.414258188824665</v>
      </c>
      <c r="E18" s="89"/>
      <c r="F18" s="84" t="s">
        <v>423</v>
      </c>
      <c r="G18" s="104">
        <v>35.822019991635315</v>
      </c>
      <c r="H18" s="150"/>
    </row>
    <row r="19" spans="2:8" ht="12.75">
      <c r="B19" s="127" t="s">
        <v>289</v>
      </c>
      <c r="C19" s="175" t="s">
        <v>423</v>
      </c>
      <c r="D19" s="139">
        <v>16.233766233766232</v>
      </c>
      <c r="E19" s="89"/>
      <c r="F19" s="84" t="s">
        <v>423</v>
      </c>
      <c r="G19" s="104">
        <v>37.72651861943734</v>
      </c>
      <c r="H19" s="150"/>
    </row>
    <row r="20" spans="2:8" ht="12.75">
      <c r="B20" s="127" t="s">
        <v>288</v>
      </c>
      <c r="C20" s="175" t="s">
        <v>423</v>
      </c>
      <c r="D20" s="139">
        <v>16.71891327063741</v>
      </c>
      <c r="E20" s="89"/>
      <c r="F20" s="84" t="s">
        <v>423</v>
      </c>
      <c r="G20" s="104">
        <v>38.853977796569964</v>
      </c>
      <c r="H20" s="150"/>
    </row>
    <row r="21" spans="2:8" ht="12.75">
      <c r="B21" s="146" t="s">
        <v>425</v>
      </c>
      <c r="C21" s="175" t="s">
        <v>423</v>
      </c>
      <c r="D21" s="139">
        <v>16.71891327063741</v>
      </c>
      <c r="E21" s="89"/>
      <c r="F21" s="84" t="s">
        <v>423</v>
      </c>
      <c r="G21" s="104">
        <v>38.853977796569964</v>
      </c>
      <c r="H21" s="150"/>
    </row>
    <row r="22" spans="2:8" ht="12.75">
      <c r="B22" s="146" t="s">
        <v>426</v>
      </c>
      <c r="C22" s="175" t="s">
        <v>423</v>
      </c>
      <c r="D22" s="139">
        <v>16.752757224626553</v>
      </c>
      <c r="E22" s="89"/>
      <c r="F22" s="84" t="s">
        <v>423</v>
      </c>
      <c r="G22" s="104">
        <v>38.93262957348609</v>
      </c>
      <c r="H22" s="150"/>
    </row>
    <row r="23" spans="2:8" ht="12.75">
      <c r="B23" s="133" t="s">
        <v>427</v>
      </c>
      <c r="C23" s="179" t="s">
        <v>580</v>
      </c>
      <c r="D23" s="99">
        <v>16</v>
      </c>
      <c r="E23" s="100">
        <v>16.34</v>
      </c>
      <c r="F23" s="101" t="s">
        <v>581</v>
      </c>
      <c r="G23" s="102">
        <v>38</v>
      </c>
      <c r="H23" s="148">
        <v>37.97340095728295</v>
      </c>
    </row>
    <row r="24" spans="2:8" ht="12.75">
      <c r="B24" s="125" t="s">
        <v>430</v>
      </c>
      <c r="C24" s="176"/>
      <c r="D24" s="84"/>
      <c r="E24" s="89"/>
      <c r="F24" s="90"/>
      <c r="G24" s="91"/>
      <c r="H24" s="150"/>
    </row>
    <row r="25" spans="2:8" ht="12.75">
      <c r="B25" s="127" t="s">
        <v>431</v>
      </c>
      <c r="C25" s="176" t="s">
        <v>449</v>
      </c>
      <c r="D25" s="84">
        <v>19</v>
      </c>
      <c r="E25" s="89">
        <v>19</v>
      </c>
      <c r="F25" s="90" t="s">
        <v>582</v>
      </c>
      <c r="G25" s="91">
        <v>44.15511739218947</v>
      </c>
      <c r="H25" s="150">
        <v>44.15511739218947</v>
      </c>
    </row>
    <row r="26" spans="2:8" ht="12.75">
      <c r="B26" s="127" t="s">
        <v>434</v>
      </c>
      <c r="C26" s="176" t="s">
        <v>509</v>
      </c>
      <c r="D26" s="84">
        <v>18</v>
      </c>
      <c r="E26" s="89">
        <v>17.955</v>
      </c>
      <c r="F26" s="84" t="s">
        <v>583</v>
      </c>
      <c r="G26" s="177">
        <v>41.83116384523213</v>
      </c>
      <c r="H26" s="178">
        <v>41.72658593561905</v>
      </c>
    </row>
    <row r="27" spans="2:8" ht="12.75">
      <c r="B27" s="127" t="s">
        <v>278</v>
      </c>
      <c r="C27" s="176" t="s">
        <v>584</v>
      </c>
      <c r="D27" s="84">
        <v>17.9</v>
      </c>
      <c r="E27" s="89"/>
      <c r="F27" s="90" t="s">
        <v>585</v>
      </c>
      <c r="G27" s="104">
        <v>41.5987684905364</v>
      </c>
      <c r="H27" s="150"/>
    </row>
    <row r="28" spans="2:8" ht="12.75">
      <c r="B28" s="127" t="s">
        <v>439</v>
      </c>
      <c r="C28" s="176" t="s">
        <v>586</v>
      </c>
      <c r="D28" s="84">
        <v>19</v>
      </c>
      <c r="E28" s="89">
        <v>19.19</v>
      </c>
      <c r="F28" s="90" t="s">
        <v>587</v>
      </c>
      <c r="G28" s="91">
        <v>44.15511739218947</v>
      </c>
      <c r="H28" s="150">
        <v>44.59666856611137</v>
      </c>
    </row>
    <row r="29" spans="2:8" ht="12.75">
      <c r="B29" s="146" t="s">
        <v>280</v>
      </c>
      <c r="C29" s="176" t="s">
        <v>586</v>
      </c>
      <c r="D29" s="84">
        <v>19</v>
      </c>
      <c r="E29" s="89"/>
      <c r="F29" s="90" t="s">
        <v>587</v>
      </c>
      <c r="G29" s="91">
        <v>44.15511739218947</v>
      </c>
      <c r="H29" s="150"/>
    </row>
    <row r="30" spans="2:8" ht="12.75">
      <c r="B30" s="146" t="s">
        <v>281</v>
      </c>
      <c r="C30" s="176" t="s">
        <v>586</v>
      </c>
      <c r="D30" s="84">
        <v>19</v>
      </c>
      <c r="E30" s="89"/>
      <c r="F30" s="90" t="s">
        <v>587</v>
      </c>
      <c r="G30" s="91">
        <v>44.15511739218947</v>
      </c>
      <c r="H30" s="150"/>
    </row>
    <row r="31" spans="2:8" ht="12.75">
      <c r="B31" s="146" t="s">
        <v>445</v>
      </c>
      <c r="C31" s="176" t="s">
        <v>586</v>
      </c>
      <c r="D31" s="84">
        <v>19</v>
      </c>
      <c r="E31" s="89"/>
      <c r="F31" s="90" t="s">
        <v>587</v>
      </c>
      <c r="G31" s="91">
        <v>44.15511739218947</v>
      </c>
      <c r="H31" s="150"/>
    </row>
    <row r="32" spans="2:8" ht="12.75">
      <c r="B32" s="127" t="s">
        <v>447</v>
      </c>
      <c r="C32" s="176" t="s">
        <v>436</v>
      </c>
      <c r="D32" s="84">
        <v>20.5</v>
      </c>
      <c r="E32" s="89">
        <v>20.045</v>
      </c>
      <c r="F32" s="90" t="s">
        <v>588</v>
      </c>
      <c r="G32" s="104">
        <v>47.641047712625486</v>
      </c>
      <c r="H32" s="150">
        <v>46.58364884875989</v>
      </c>
    </row>
    <row r="33" spans="2:8" ht="12.75">
      <c r="B33" s="146" t="s">
        <v>450</v>
      </c>
      <c r="C33" s="176" t="s">
        <v>436</v>
      </c>
      <c r="D33" s="84">
        <v>20.5</v>
      </c>
      <c r="E33" s="89"/>
      <c r="F33" s="90" t="s">
        <v>588</v>
      </c>
      <c r="G33" s="104">
        <v>47.641047712625486</v>
      </c>
      <c r="H33" s="150"/>
    </row>
    <row r="34" spans="2:8" ht="12.75">
      <c r="B34" s="146" t="s">
        <v>453</v>
      </c>
      <c r="C34" s="176" t="s">
        <v>436</v>
      </c>
      <c r="D34" s="84">
        <v>20.5</v>
      </c>
      <c r="E34" s="89"/>
      <c r="F34" s="90" t="s">
        <v>588</v>
      </c>
      <c r="G34" s="104">
        <v>47.641047712625486</v>
      </c>
      <c r="H34" s="150"/>
    </row>
    <row r="35" spans="2:8" ht="12.75">
      <c r="B35" s="127" t="s">
        <v>269</v>
      </c>
      <c r="C35" s="176" t="s">
        <v>467</v>
      </c>
      <c r="D35" s="84">
        <v>18.5</v>
      </c>
      <c r="E35" s="89">
        <v>18.525</v>
      </c>
      <c r="F35" s="90" t="s">
        <v>589</v>
      </c>
      <c r="G35" s="104">
        <v>42.9931406187108</v>
      </c>
      <c r="H35" s="150">
        <v>43.05123945738473</v>
      </c>
    </row>
    <row r="36" spans="2:8" ht="12.75">
      <c r="B36" s="127" t="s">
        <v>456</v>
      </c>
      <c r="C36" s="176" t="s">
        <v>590</v>
      </c>
      <c r="D36" s="84">
        <v>18.6</v>
      </c>
      <c r="E36" s="89">
        <v>18.62</v>
      </c>
      <c r="F36" s="90" t="s">
        <v>591</v>
      </c>
      <c r="G36" s="104">
        <v>43.3</v>
      </c>
      <c r="H36" s="150">
        <v>43.272015044345686</v>
      </c>
    </row>
    <row r="37" spans="2:8" ht="12.75">
      <c r="B37" s="127" t="s">
        <v>349</v>
      </c>
      <c r="C37" s="176" t="s">
        <v>592</v>
      </c>
      <c r="D37" s="84">
        <v>26</v>
      </c>
      <c r="E37" s="89">
        <v>26.125</v>
      </c>
      <c r="F37" s="90" t="s">
        <v>593</v>
      </c>
      <c r="G37" s="91">
        <v>60.42279222089085</v>
      </c>
      <c r="H37" s="150">
        <v>60.71328641426053</v>
      </c>
    </row>
    <row r="38" spans="2:8" ht="12.75">
      <c r="B38" s="127" t="s">
        <v>263</v>
      </c>
      <c r="C38" s="176" t="s">
        <v>594</v>
      </c>
      <c r="D38" s="84">
        <v>16</v>
      </c>
      <c r="E38" s="89">
        <v>16.34</v>
      </c>
      <c r="F38" s="90" t="s">
        <v>595</v>
      </c>
      <c r="G38" s="91">
        <v>38</v>
      </c>
      <c r="H38" s="150">
        <v>37.97340095728295</v>
      </c>
    </row>
    <row r="39" spans="2:8" ht="12.75">
      <c r="B39" s="127" t="s">
        <v>462</v>
      </c>
      <c r="C39" s="176" t="s">
        <v>509</v>
      </c>
      <c r="D39" s="84">
        <v>19</v>
      </c>
      <c r="E39" s="89">
        <v>19</v>
      </c>
      <c r="F39" s="90" t="s">
        <v>583</v>
      </c>
      <c r="G39" s="91">
        <v>44.15511739218947</v>
      </c>
      <c r="H39" s="150">
        <v>44.15511739218947</v>
      </c>
    </row>
    <row r="40" spans="2:8" ht="12.75">
      <c r="B40" s="127" t="s">
        <v>465</v>
      </c>
      <c r="C40" s="176" t="s">
        <v>438</v>
      </c>
      <c r="D40" s="84">
        <v>21</v>
      </c>
      <c r="E40" s="89">
        <v>20.9</v>
      </c>
      <c r="F40" s="90" t="s">
        <v>596</v>
      </c>
      <c r="G40" s="91">
        <v>48.80302448610415</v>
      </c>
      <c r="H40" s="150">
        <v>48.57062913140842</v>
      </c>
    </row>
    <row r="41" spans="2:8" ht="12.75">
      <c r="B41" s="127" t="s">
        <v>468</v>
      </c>
      <c r="C41" s="176" t="s">
        <v>436</v>
      </c>
      <c r="D41" s="84">
        <v>21</v>
      </c>
      <c r="E41" s="89"/>
      <c r="F41" s="90" t="s">
        <v>588</v>
      </c>
      <c r="G41" s="91">
        <v>48.80302448610415</v>
      </c>
      <c r="H41" s="150"/>
    </row>
    <row r="42" spans="2:8" ht="12.75">
      <c r="B42" s="127" t="s">
        <v>285</v>
      </c>
      <c r="C42" s="176" t="s">
        <v>597</v>
      </c>
      <c r="D42" s="84">
        <v>19</v>
      </c>
      <c r="E42" s="89">
        <v>18.99</v>
      </c>
      <c r="F42" s="90" t="s">
        <v>598</v>
      </c>
      <c r="G42" s="91">
        <v>44.15511739218947</v>
      </c>
      <c r="H42" s="150">
        <v>44.13187785671989</v>
      </c>
    </row>
    <row r="43" spans="2:8" ht="12.75">
      <c r="B43" s="127" t="s">
        <v>472</v>
      </c>
      <c r="C43" s="176" t="s">
        <v>586</v>
      </c>
      <c r="D43" s="84">
        <v>19</v>
      </c>
      <c r="E43" s="89"/>
      <c r="F43" s="90" t="s">
        <v>587</v>
      </c>
      <c r="G43" s="91">
        <v>44.15511739218947</v>
      </c>
      <c r="H43" s="150"/>
    </row>
    <row r="44" spans="2:8" ht="12.75">
      <c r="B44" s="127" t="s">
        <v>474</v>
      </c>
      <c r="C44" s="176" t="s">
        <v>449</v>
      </c>
      <c r="D44" s="84">
        <v>19</v>
      </c>
      <c r="E44" s="89">
        <v>19</v>
      </c>
      <c r="F44" s="90" t="s">
        <v>582</v>
      </c>
      <c r="G44" s="91">
        <v>44.15511739218947</v>
      </c>
      <c r="H44" s="150">
        <v>44.15511739218947</v>
      </c>
    </row>
    <row r="45" spans="2:8" ht="12.75">
      <c r="B45" s="133" t="s">
        <v>477</v>
      </c>
      <c r="C45" s="179" t="s">
        <v>599</v>
      </c>
      <c r="D45" s="99">
        <v>28</v>
      </c>
      <c r="E45" s="100">
        <v>27.645</v>
      </c>
      <c r="F45" s="101" t="s">
        <v>600</v>
      </c>
      <c r="G45" s="102">
        <v>65.07069931480554</v>
      </c>
      <c r="H45" s="148">
        <v>64.24569580563568</v>
      </c>
    </row>
    <row r="46" spans="2:8" ht="12.75">
      <c r="B46" s="125" t="s">
        <v>479</v>
      </c>
      <c r="C46" s="176"/>
      <c r="D46" s="84"/>
      <c r="E46" s="89"/>
      <c r="F46" s="90"/>
      <c r="G46" s="91"/>
      <c r="H46" s="150"/>
    </row>
    <row r="47" spans="2:8" ht="12.75">
      <c r="B47" s="127" t="s">
        <v>554</v>
      </c>
      <c r="C47" s="176" t="s">
        <v>601</v>
      </c>
      <c r="D47" s="84">
        <v>27</v>
      </c>
      <c r="E47" s="89">
        <v>27.455</v>
      </c>
      <c r="F47" s="90" t="s">
        <v>602</v>
      </c>
      <c r="G47" s="91">
        <v>62.746745767848196</v>
      </c>
      <c r="H47" s="150">
        <v>63.80414463171378</v>
      </c>
    </row>
    <row r="48" spans="2:8" ht="12.75">
      <c r="B48" s="127" t="s">
        <v>482</v>
      </c>
      <c r="C48" s="176" t="s">
        <v>603</v>
      </c>
      <c r="D48" s="84">
        <v>22</v>
      </c>
      <c r="E48" s="89"/>
      <c r="F48" s="90" t="s">
        <v>604</v>
      </c>
      <c r="G48" s="91">
        <v>51.1269780330615</v>
      </c>
      <c r="H48" s="150"/>
    </row>
    <row r="49" spans="2:8" ht="12.75">
      <c r="B49" s="127" t="s">
        <v>485</v>
      </c>
      <c r="C49" s="176" t="s">
        <v>438</v>
      </c>
      <c r="D49" s="84">
        <v>21</v>
      </c>
      <c r="E49" s="89"/>
      <c r="F49" s="90" t="s">
        <v>596</v>
      </c>
      <c r="G49" s="91">
        <v>48.80302448610415</v>
      </c>
      <c r="H49" s="150"/>
    </row>
    <row r="50" spans="2:8" ht="12.75">
      <c r="B50" s="133" t="s">
        <v>487</v>
      </c>
      <c r="C50" s="179" t="s">
        <v>605</v>
      </c>
      <c r="D50" s="99">
        <v>22</v>
      </c>
      <c r="E50" s="100"/>
      <c r="F50" s="101" t="s">
        <v>606</v>
      </c>
      <c r="G50" s="102">
        <v>51.1269780330615</v>
      </c>
      <c r="H50" s="148"/>
    </row>
    <row r="51" spans="2:8" ht="12.75">
      <c r="B51" s="125" t="s">
        <v>490</v>
      </c>
      <c r="C51" s="176"/>
      <c r="D51" s="84"/>
      <c r="E51" s="89"/>
      <c r="F51" s="90"/>
      <c r="G51" s="91"/>
      <c r="H51" s="150"/>
    </row>
    <row r="52" spans="2:8" ht="12.75">
      <c r="B52" s="127" t="s">
        <v>491</v>
      </c>
      <c r="C52" s="176" t="s">
        <v>572</v>
      </c>
      <c r="D52" s="84">
        <v>26</v>
      </c>
      <c r="E52" s="89"/>
      <c r="F52" s="90" t="s">
        <v>573</v>
      </c>
      <c r="G52" s="91">
        <v>60.42279222089085</v>
      </c>
      <c r="H52" s="150"/>
    </row>
    <row r="53" spans="2:8" ht="12.75">
      <c r="B53" s="127" t="s">
        <v>494</v>
      </c>
      <c r="C53" s="176" t="s">
        <v>572</v>
      </c>
      <c r="D53" s="84">
        <v>26</v>
      </c>
      <c r="E53" s="89"/>
      <c r="F53" s="90" t="s">
        <v>573</v>
      </c>
      <c r="G53" s="91">
        <v>60.42279222089085</v>
      </c>
      <c r="H53" s="150"/>
    </row>
    <row r="54" spans="2:8" ht="12.75">
      <c r="B54" s="127" t="s">
        <v>496</v>
      </c>
      <c r="C54" s="176" t="s">
        <v>572</v>
      </c>
      <c r="D54" s="84">
        <v>26</v>
      </c>
      <c r="E54" s="89"/>
      <c r="F54" s="90" t="s">
        <v>573</v>
      </c>
      <c r="G54" s="91">
        <v>60.42279222089085</v>
      </c>
      <c r="H54" s="150"/>
    </row>
    <row r="55" spans="2:8" ht="12.75">
      <c r="B55" s="127" t="s">
        <v>499</v>
      </c>
      <c r="C55" s="176" t="s">
        <v>607</v>
      </c>
      <c r="D55" s="84">
        <v>23</v>
      </c>
      <c r="E55" s="89"/>
      <c r="F55" s="90" t="s">
        <v>608</v>
      </c>
      <c r="G55" s="91">
        <v>53.45093158001884</v>
      </c>
      <c r="H55" s="150"/>
    </row>
    <row r="56" spans="2:8" ht="12.75">
      <c r="B56" s="127" t="s">
        <v>633</v>
      </c>
      <c r="C56" s="175" t="s">
        <v>423</v>
      </c>
      <c r="D56" s="139">
        <v>13.489208633093524</v>
      </c>
      <c r="E56" s="89"/>
      <c r="F56" s="84" t="s">
        <v>423</v>
      </c>
      <c r="G56" s="104">
        <v>31.348294248525274</v>
      </c>
      <c r="H56" s="150"/>
    </row>
    <row r="57" spans="2:8" ht="12.75">
      <c r="B57" s="127" t="s">
        <v>634</v>
      </c>
      <c r="C57" s="175" t="s">
        <v>423</v>
      </c>
      <c r="D57" s="139">
        <v>13.489208633093524</v>
      </c>
      <c r="E57" s="89"/>
      <c r="F57" s="84" t="s">
        <v>423</v>
      </c>
      <c r="G57" s="104">
        <v>31.348294248525274</v>
      </c>
      <c r="H57" s="150"/>
    </row>
    <row r="58" spans="2:8" ht="12.75">
      <c r="B58" s="127" t="s">
        <v>504</v>
      </c>
      <c r="C58" s="176" t="s">
        <v>609</v>
      </c>
      <c r="D58" s="84">
        <v>21</v>
      </c>
      <c r="E58" s="89"/>
      <c r="F58" s="90" t="s">
        <v>610</v>
      </c>
      <c r="G58" s="91">
        <v>48.80302448610415</v>
      </c>
      <c r="H58" s="150"/>
    </row>
    <row r="59" spans="2:8" ht="12.75">
      <c r="B59" s="127" t="s">
        <v>507</v>
      </c>
      <c r="C59" s="176" t="s">
        <v>443</v>
      </c>
      <c r="D59" s="84">
        <v>19</v>
      </c>
      <c r="E59" s="89"/>
      <c r="F59" s="90" t="s">
        <v>611</v>
      </c>
      <c r="G59" s="91">
        <v>44.15511739218947</v>
      </c>
      <c r="H59" s="150"/>
    </row>
    <row r="60" spans="2:8" ht="13.5" thickBot="1">
      <c r="B60" s="166" t="s">
        <v>510</v>
      </c>
      <c r="C60" s="180" t="s">
        <v>609</v>
      </c>
      <c r="D60" s="112">
        <v>21</v>
      </c>
      <c r="E60" s="113"/>
      <c r="F60" s="114" t="s">
        <v>610</v>
      </c>
      <c r="G60" s="115">
        <v>48.80302448610415</v>
      </c>
      <c r="H60" s="169"/>
    </row>
    <row r="61" spans="2:7" ht="14.25">
      <c r="B61" s="117" t="s">
        <v>647</v>
      </c>
      <c r="C61" s="181"/>
      <c r="D61" s="181"/>
      <c r="E61" s="181"/>
      <c r="F61" s="181"/>
      <c r="G61" s="181"/>
    </row>
    <row r="62" spans="2:7" ht="14.25">
      <c r="B62" s="117" t="s">
        <v>648</v>
      </c>
      <c r="C62" s="181"/>
      <c r="D62" s="181"/>
      <c r="E62" s="181"/>
      <c r="F62" s="181"/>
      <c r="G62" s="181"/>
    </row>
    <row r="63" spans="2:7" ht="15.75">
      <c r="B63" s="117" t="s">
        <v>649</v>
      </c>
      <c r="C63" s="181"/>
      <c r="D63" s="181"/>
      <c r="E63" s="181"/>
      <c r="F63" s="181"/>
      <c r="G63" s="181"/>
    </row>
    <row r="64" spans="2:7" ht="14.25">
      <c r="B64" s="117" t="s">
        <v>636</v>
      </c>
      <c r="C64" s="182"/>
      <c r="D64" s="182"/>
      <c r="E64" s="182"/>
      <c r="F64" s="182"/>
      <c r="G64" s="182"/>
    </row>
    <row r="65" spans="2:7" ht="14.25">
      <c r="B65" s="117" t="s">
        <v>637</v>
      </c>
      <c r="C65" s="182"/>
      <c r="D65" s="182"/>
      <c r="E65" s="182"/>
      <c r="F65" s="182"/>
      <c r="G65" s="182"/>
    </row>
    <row r="67" ht="12.75">
      <c r="B67" s="118" t="s">
        <v>514</v>
      </c>
    </row>
    <row r="68" ht="12.75">
      <c r="B68" s="20" t="s">
        <v>515</v>
      </c>
    </row>
    <row r="69" ht="12.75">
      <c r="B69" s="20" t="s">
        <v>612</v>
      </c>
    </row>
    <row r="70" ht="12.75">
      <c r="B70" s="20" t="s">
        <v>613</v>
      </c>
    </row>
    <row r="72" ht="12.75">
      <c r="B72" s="482" t="s">
        <v>19</v>
      </c>
    </row>
  </sheetData>
  <sheetProtection/>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8"/>
  <dimension ref="A1:E36"/>
  <sheetViews>
    <sheetView workbookViewId="0" topLeftCell="A1">
      <pane ySplit="2" topLeftCell="BM15" activePane="bottomLeft" state="frozen"/>
      <selection pane="topLeft" activeCell="A1" sqref="A1"/>
      <selection pane="bottomLeft" activeCell="B36" sqref="B36"/>
    </sheetView>
  </sheetViews>
  <sheetFormatPr defaultColWidth="9.140625" defaultRowHeight="12.75"/>
  <cols>
    <col min="1" max="1" width="4.421875" style="20" customWidth="1"/>
    <col min="2" max="2" width="33.28125" style="20" customWidth="1"/>
    <col min="3" max="3" width="10.7109375" style="20" customWidth="1"/>
    <col min="4" max="4" width="9.421875" style="20" bestFit="1" customWidth="1"/>
    <col min="5" max="5" width="10.421875" style="20" bestFit="1" customWidth="1"/>
    <col min="6" max="16384" width="9.140625" style="20" customWidth="1"/>
  </cols>
  <sheetData>
    <row r="1" s="556" customFormat="1" ht="27">
      <c r="A1" s="555" t="s">
        <v>614</v>
      </c>
    </row>
    <row r="2" spans="1:4" s="557" customFormat="1" ht="16.5" customHeight="1" thickBot="1">
      <c r="A2" s="552" t="s">
        <v>615</v>
      </c>
      <c r="C2" s="558"/>
      <c r="D2" s="558"/>
    </row>
    <row r="3" spans="3:4" ht="13.5" thickTop="1">
      <c r="C3" s="74"/>
      <c r="D3" s="74"/>
    </row>
    <row r="4" spans="2:4" ht="13.5" thickBot="1">
      <c r="B4" s="118"/>
      <c r="C4" s="183"/>
      <c r="D4" s="184"/>
    </row>
    <row r="5" spans="2:5" ht="13.5" thickBot="1">
      <c r="B5" s="185" t="s">
        <v>616</v>
      </c>
      <c r="C5" s="186" t="s">
        <v>390</v>
      </c>
      <c r="D5" s="186" t="s">
        <v>391</v>
      </c>
      <c r="E5" s="187" t="s">
        <v>617</v>
      </c>
    </row>
    <row r="6" spans="2:5" ht="12.75">
      <c r="B6" s="125" t="s">
        <v>392</v>
      </c>
      <c r="C6" s="90" t="s">
        <v>618</v>
      </c>
      <c r="D6" s="188">
        <v>0.99</v>
      </c>
      <c r="E6" s="189">
        <v>0.98</v>
      </c>
    </row>
    <row r="7" spans="2:5" ht="12.75">
      <c r="B7" s="127" t="s">
        <v>619</v>
      </c>
      <c r="C7" s="149"/>
      <c r="D7" s="188">
        <v>0.99</v>
      </c>
      <c r="E7" s="189"/>
    </row>
    <row r="8" spans="2:5" ht="12.75">
      <c r="B8" s="127" t="s">
        <v>620</v>
      </c>
      <c r="C8" s="188"/>
      <c r="D8" s="188">
        <v>0.98</v>
      </c>
      <c r="E8" s="189"/>
    </row>
    <row r="9" spans="2:5" ht="12.75">
      <c r="B9" s="133" t="s">
        <v>621</v>
      </c>
      <c r="C9" s="190"/>
      <c r="D9" s="190">
        <v>0.98</v>
      </c>
      <c r="E9" s="191"/>
    </row>
    <row r="10" spans="2:5" ht="12.75">
      <c r="B10" s="192" t="s">
        <v>417</v>
      </c>
      <c r="C10" s="193" t="s">
        <v>622</v>
      </c>
      <c r="D10" s="193">
        <v>1</v>
      </c>
      <c r="E10" s="194">
        <v>0.995</v>
      </c>
    </row>
    <row r="11" spans="2:5" ht="12.75">
      <c r="B11" s="125" t="s">
        <v>430</v>
      </c>
      <c r="C11" s="188" t="s">
        <v>623</v>
      </c>
      <c r="D11" s="188">
        <v>1</v>
      </c>
      <c r="E11" s="189">
        <v>0.99</v>
      </c>
    </row>
    <row r="12" spans="2:5" ht="12.75">
      <c r="B12" s="127" t="s">
        <v>624</v>
      </c>
      <c r="C12" s="149"/>
      <c r="D12" s="188">
        <v>1</v>
      </c>
      <c r="E12" s="189"/>
    </row>
    <row r="13" spans="2:5" ht="12.75">
      <c r="B13" s="127" t="s">
        <v>625</v>
      </c>
      <c r="C13" s="188"/>
      <c r="D13" s="188">
        <v>0.99</v>
      </c>
      <c r="E13" s="189"/>
    </row>
    <row r="14" spans="2:5" ht="12.75">
      <c r="B14" s="133" t="s">
        <v>626</v>
      </c>
      <c r="C14" s="190"/>
      <c r="D14" s="190">
        <v>0.99</v>
      </c>
      <c r="E14" s="191"/>
    </row>
    <row r="15" spans="2:5" ht="12.75">
      <c r="B15" s="125" t="s">
        <v>479</v>
      </c>
      <c r="C15" s="188" t="s">
        <v>618</v>
      </c>
      <c r="D15" s="188">
        <v>0.99</v>
      </c>
      <c r="E15" s="189"/>
    </row>
    <row r="16" spans="2:5" ht="12.75">
      <c r="B16" s="127" t="s">
        <v>554</v>
      </c>
      <c r="C16" s="149"/>
      <c r="D16" s="188">
        <v>0.99</v>
      </c>
      <c r="E16" s="189" t="s">
        <v>650</v>
      </c>
    </row>
    <row r="17" spans="2:5" ht="12.75">
      <c r="B17" s="127" t="s">
        <v>482</v>
      </c>
      <c r="C17" s="188"/>
      <c r="D17" s="188">
        <v>0.99</v>
      </c>
      <c r="E17" s="189"/>
    </row>
    <row r="18" spans="2:5" ht="12.75">
      <c r="B18" s="127" t="s">
        <v>485</v>
      </c>
      <c r="C18" s="188"/>
      <c r="D18" s="188">
        <v>0.99</v>
      </c>
      <c r="E18" s="189"/>
    </row>
    <row r="19" spans="2:5" ht="12.75">
      <c r="B19" s="133" t="s">
        <v>487</v>
      </c>
      <c r="C19" s="190"/>
      <c r="D19" s="190">
        <v>0.99</v>
      </c>
      <c r="E19" s="191"/>
    </row>
    <row r="20" spans="2:5" ht="12.75">
      <c r="B20" s="125" t="s">
        <v>490</v>
      </c>
      <c r="C20" s="188" t="s">
        <v>627</v>
      </c>
      <c r="D20" s="188">
        <v>0.98</v>
      </c>
      <c r="E20" s="189"/>
    </row>
    <row r="21" spans="2:5" ht="12.75">
      <c r="B21" s="127" t="s">
        <v>491</v>
      </c>
      <c r="C21" s="188"/>
      <c r="D21" s="188">
        <v>0.98</v>
      </c>
      <c r="E21" s="189"/>
    </row>
    <row r="22" spans="2:5" ht="12.75">
      <c r="B22" s="127" t="s">
        <v>494</v>
      </c>
      <c r="C22" s="188"/>
      <c r="D22" s="188">
        <v>0.98</v>
      </c>
      <c r="E22" s="189"/>
    </row>
    <row r="23" spans="2:5" ht="12.75">
      <c r="B23" s="127" t="s">
        <v>496</v>
      </c>
      <c r="C23" s="188"/>
      <c r="D23" s="188">
        <v>0.98</v>
      </c>
      <c r="E23" s="189"/>
    </row>
    <row r="24" spans="2:5" ht="12.75">
      <c r="B24" s="127" t="s">
        <v>499</v>
      </c>
      <c r="C24" s="188"/>
      <c r="D24" s="188">
        <v>0.98</v>
      </c>
      <c r="E24" s="189"/>
    </row>
    <row r="25" spans="2:5" ht="12.75">
      <c r="B25" s="127" t="s">
        <v>633</v>
      </c>
      <c r="C25" s="188"/>
      <c r="D25" s="188">
        <v>1</v>
      </c>
      <c r="E25" s="189"/>
    </row>
    <row r="26" spans="2:5" ht="12.75">
      <c r="B26" s="127" t="s">
        <v>634</v>
      </c>
      <c r="C26" s="188"/>
      <c r="D26" s="188">
        <v>1</v>
      </c>
      <c r="E26" s="189"/>
    </row>
    <row r="27" spans="2:5" ht="12.75">
      <c r="B27" s="127" t="s">
        <v>504</v>
      </c>
      <c r="C27" s="188"/>
      <c r="D27" s="188">
        <v>0.99</v>
      </c>
      <c r="E27" s="189"/>
    </row>
    <row r="28" spans="2:5" ht="12.75">
      <c r="B28" s="127" t="s">
        <v>507</v>
      </c>
      <c r="C28" s="188"/>
      <c r="D28" s="188">
        <v>1</v>
      </c>
      <c r="E28" s="189"/>
    </row>
    <row r="29" spans="2:5" ht="13.5" thickBot="1">
      <c r="B29" s="166" t="s">
        <v>510</v>
      </c>
      <c r="C29" s="195"/>
      <c r="D29" s="195">
        <v>0.99</v>
      </c>
      <c r="E29" s="196"/>
    </row>
    <row r="30" spans="2:4" ht="14.25">
      <c r="B30" s="117" t="s">
        <v>628</v>
      </c>
      <c r="C30" s="74"/>
      <c r="D30" s="74"/>
    </row>
    <row r="31" spans="3:4" ht="12.75">
      <c r="C31" s="74"/>
      <c r="D31" s="74"/>
    </row>
    <row r="32" spans="2:4" ht="12.75">
      <c r="B32" s="118" t="s">
        <v>514</v>
      </c>
      <c r="C32" s="74"/>
      <c r="D32" s="74"/>
    </row>
    <row r="33" spans="2:4" ht="12.75">
      <c r="B33" s="20" t="s">
        <v>515</v>
      </c>
      <c r="C33" s="74"/>
      <c r="D33" s="74"/>
    </row>
    <row r="34" spans="2:4" ht="12.75">
      <c r="B34" s="20" t="s">
        <v>517</v>
      </c>
      <c r="C34" s="74"/>
      <c r="D34" s="74"/>
    </row>
    <row r="36" ht="12.75">
      <c r="B36" s="482" t="s">
        <v>19</v>
      </c>
    </row>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9"/>
  <dimension ref="A1:F58"/>
  <sheetViews>
    <sheetView zoomScaleSheetLayoutView="100" workbookViewId="0" topLeftCell="A1">
      <pane ySplit="6" topLeftCell="BM49" activePane="bottomLeft" state="frozen"/>
      <selection pane="topLeft" activeCell="A1" sqref="A1"/>
      <selection pane="bottomLeft" activeCell="B58" sqref="B58"/>
    </sheetView>
  </sheetViews>
  <sheetFormatPr defaultColWidth="9.140625" defaultRowHeight="12.75"/>
  <cols>
    <col min="1" max="1" width="4.421875" style="20" customWidth="1"/>
    <col min="2" max="2" width="35.28125" style="20" customWidth="1"/>
    <col min="3" max="4" width="12.7109375" style="20" customWidth="1"/>
    <col min="5" max="6" width="12.421875" style="20" customWidth="1"/>
    <col min="7" max="16384" width="9.140625" style="20" customWidth="1"/>
  </cols>
  <sheetData>
    <row r="1" spans="1:4" s="559" customFormat="1" ht="31.5">
      <c r="A1" s="549" t="s">
        <v>1052</v>
      </c>
      <c r="C1" s="560"/>
      <c r="D1" s="560"/>
    </row>
    <row r="2" spans="1:4" s="559" customFormat="1" ht="27">
      <c r="A2" s="549" t="s">
        <v>651</v>
      </c>
      <c r="C2" s="560"/>
      <c r="D2" s="560"/>
    </row>
    <row r="3" spans="1:4" s="562" customFormat="1" ht="12.75">
      <c r="A3" s="561" t="s">
        <v>615</v>
      </c>
      <c r="C3" s="563"/>
      <c r="D3" s="563"/>
    </row>
    <row r="4" spans="2:4" ht="16.5" thickBot="1">
      <c r="B4" s="120"/>
      <c r="C4" s="74"/>
      <c r="D4" s="74"/>
    </row>
    <row r="5" spans="2:6" ht="14.25">
      <c r="B5" s="171"/>
      <c r="C5" s="76" t="s">
        <v>669</v>
      </c>
      <c r="D5" s="77"/>
      <c r="E5" s="76" t="s">
        <v>670</v>
      </c>
      <c r="F5" s="79"/>
    </row>
    <row r="6" spans="2:6" ht="13.5" thickBot="1">
      <c r="B6" s="123" t="s">
        <v>652</v>
      </c>
      <c r="C6" s="197" t="s">
        <v>653</v>
      </c>
      <c r="D6" s="197" t="s">
        <v>654</v>
      </c>
      <c r="E6" s="197" t="s">
        <v>655</v>
      </c>
      <c r="F6" s="198" t="s">
        <v>654</v>
      </c>
    </row>
    <row r="7" spans="2:6" ht="12.75">
      <c r="B7" s="125" t="s">
        <v>267</v>
      </c>
      <c r="C7" s="84"/>
      <c r="D7" s="84"/>
      <c r="E7" s="84"/>
      <c r="F7" s="86"/>
    </row>
    <row r="8" spans="2:6" ht="12.75">
      <c r="B8" s="127" t="s">
        <v>656</v>
      </c>
      <c r="C8" s="140">
        <f>1/1000/0.95</f>
        <v>0.0010526315789473684</v>
      </c>
      <c r="D8" s="140">
        <f>C8/0.454/0.9478</f>
        <v>0.0024462668915340427</v>
      </c>
      <c r="E8" s="140">
        <f>1.4/1000/0.95</f>
        <v>0.0014736842105263158</v>
      </c>
      <c r="F8" s="199">
        <f>E8/0.454/0.9478</f>
        <v>0.0034247736481476596</v>
      </c>
    </row>
    <row r="9" spans="2:6" ht="12.75">
      <c r="B9" s="127" t="s">
        <v>657</v>
      </c>
      <c r="C9" s="140">
        <f>10/1000/0.95</f>
        <v>0.010526315789473686</v>
      </c>
      <c r="D9" s="140">
        <f>C9/0.454/0.9478</f>
        <v>0.02446266891534043</v>
      </c>
      <c r="E9" s="140">
        <f>1.4/1000/0.95</f>
        <v>0.0014736842105263158</v>
      </c>
      <c r="F9" s="199">
        <f>E9/0.454/0.9478</f>
        <v>0.0034247736481476596</v>
      </c>
    </row>
    <row r="10" spans="2:6" ht="12.75">
      <c r="B10" s="127" t="s">
        <v>658</v>
      </c>
      <c r="C10" s="140">
        <f>10/1000/0.95</f>
        <v>0.010526315789473686</v>
      </c>
      <c r="D10" s="140">
        <f>C10/0.454/0.9478</f>
        <v>0.02446266891534043</v>
      </c>
      <c r="E10" s="140">
        <f>1.4/1000/0.95</f>
        <v>0.0014736842105263158</v>
      </c>
      <c r="F10" s="199">
        <f>E10/0.454/0.9478</f>
        <v>0.0034247736481476596</v>
      </c>
    </row>
    <row r="11" spans="2:6" ht="12.75">
      <c r="B11" s="127" t="s">
        <v>659</v>
      </c>
      <c r="C11" s="140">
        <f>300/1000/0.95</f>
        <v>0.3157894736842105</v>
      </c>
      <c r="D11" s="140">
        <f>C11/0.454/0.9478</f>
        <v>0.7338800674602127</v>
      </c>
      <c r="E11" s="140">
        <f>1.4/1000/0.95</f>
        <v>0.0014736842105263158</v>
      </c>
      <c r="F11" s="199">
        <f>E11/0.454/0.9478</f>
        <v>0.0034247736481476596</v>
      </c>
    </row>
    <row r="12" spans="2:6" ht="12.75">
      <c r="B12" s="133" t="s">
        <v>660</v>
      </c>
      <c r="C12" s="200">
        <f>300/1000/0.95</f>
        <v>0.3157894736842105</v>
      </c>
      <c r="D12" s="200">
        <f>C12/0.454/0.9478</f>
        <v>0.7338800674602127</v>
      </c>
      <c r="E12" s="200">
        <f>1.4/1000/0.95</f>
        <v>0.0014736842105263158</v>
      </c>
      <c r="F12" s="201">
        <f>E12/0.454/0.9478</f>
        <v>0.0034247736481476596</v>
      </c>
    </row>
    <row r="13" spans="2:6" ht="12.75">
      <c r="B13" s="125" t="s">
        <v>294</v>
      </c>
      <c r="C13" s="140"/>
      <c r="D13" s="140"/>
      <c r="E13" s="140"/>
      <c r="F13" s="199"/>
    </row>
    <row r="14" spans="2:6" ht="12.75">
      <c r="B14" s="127" t="s">
        <v>656</v>
      </c>
      <c r="C14" s="140">
        <f>1/1000/0.9</f>
        <v>0.0011111111111111111</v>
      </c>
      <c r="D14" s="140">
        <f>C14/0.454/0.9478</f>
        <v>0.002582170607730378</v>
      </c>
      <c r="E14" s="140">
        <f>0.1/1000/0.9</f>
        <v>0.00011111111111111112</v>
      </c>
      <c r="F14" s="199">
        <f>E14/0.454/0.9478</f>
        <v>0.0002582170607730379</v>
      </c>
    </row>
    <row r="15" spans="2:6" ht="12.75">
      <c r="B15" s="127" t="s">
        <v>657</v>
      </c>
      <c r="C15" s="140">
        <f>5/1000/0.9</f>
        <v>0.005555555555555556</v>
      </c>
      <c r="D15" s="140">
        <f>C15/0.454/0.9478</f>
        <v>0.012910853038651892</v>
      </c>
      <c r="E15" s="140">
        <f>0.1/1000/0.9</f>
        <v>0.00011111111111111112</v>
      </c>
      <c r="F15" s="199">
        <f>E15/0.454/0.9478</f>
        <v>0.0002582170607730379</v>
      </c>
    </row>
    <row r="16" spans="2:6" ht="12.75">
      <c r="B16" s="127" t="s">
        <v>658</v>
      </c>
      <c r="C16" s="140">
        <f>5/1000/0.9</f>
        <v>0.005555555555555556</v>
      </c>
      <c r="D16" s="140">
        <f>C16/0.454/0.9478</f>
        <v>0.012910853038651892</v>
      </c>
      <c r="E16" s="140">
        <f>0.1/1000/0.9</f>
        <v>0.00011111111111111112</v>
      </c>
      <c r="F16" s="199">
        <f>E16/0.454/0.9478</f>
        <v>0.0002582170607730379</v>
      </c>
    </row>
    <row r="17" spans="2:6" ht="12.75">
      <c r="B17" s="127" t="s">
        <v>659</v>
      </c>
      <c r="C17" s="140">
        <f>5/1000/0.9</f>
        <v>0.005555555555555556</v>
      </c>
      <c r="D17" s="140">
        <f>C17/0.454/0.9478</f>
        <v>0.012910853038651892</v>
      </c>
      <c r="E17" s="140">
        <f>0.1/1000/0.9</f>
        <v>0.00011111111111111112</v>
      </c>
      <c r="F17" s="199">
        <f>E17/0.454/0.9478</f>
        <v>0.0002582170607730379</v>
      </c>
    </row>
    <row r="18" spans="2:6" ht="12.75">
      <c r="B18" s="133" t="s">
        <v>660</v>
      </c>
      <c r="C18" s="200">
        <f>5/1000/0.9</f>
        <v>0.005555555555555556</v>
      </c>
      <c r="D18" s="200">
        <f>C18/0.454/0.9478</f>
        <v>0.012910853038651892</v>
      </c>
      <c r="E18" s="200">
        <f>0.1/1000/0.9</f>
        <v>0.00011111111111111112</v>
      </c>
      <c r="F18" s="201">
        <f>E18/0.454/0.9478</f>
        <v>0.0002582170607730379</v>
      </c>
    </row>
    <row r="19" spans="2:6" ht="12.75">
      <c r="B19" s="125" t="s">
        <v>661</v>
      </c>
      <c r="C19" s="140"/>
      <c r="D19" s="140"/>
      <c r="E19" s="140"/>
      <c r="F19" s="199"/>
    </row>
    <row r="20" spans="2:6" ht="12.75">
      <c r="B20" s="127" t="s">
        <v>656</v>
      </c>
      <c r="C20" s="140">
        <f>3/1000/0.95</f>
        <v>0.0031578947368421056</v>
      </c>
      <c r="D20" s="140">
        <f>C20/0.454/0.9478</f>
        <v>0.007338800674602129</v>
      </c>
      <c r="E20" s="140">
        <f>0.6/1000/0.95</f>
        <v>0.0006315789473684211</v>
      </c>
      <c r="F20" s="199">
        <f>E20/0.454/0.9478</f>
        <v>0.0014677601349204256</v>
      </c>
    </row>
    <row r="21" spans="2:6" ht="12.75">
      <c r="B21" s="127" t="s">
        <v>657</v>
      </c>
      <c r="C21" s="140">
        <f>2/1000/0.95</f>
        <v>0.002105263157894737</v>
      </c>
      <c r="D21" s="140">
        <f>C21/0.454/0.9478</f>
        <v>0.004892533783068085</v>
      </c>
      <c r="E21" s="140">
        <f>0.6/1000/0.95</f>
        <v>0.0006315789473684211</v>
      </c>
      <c r="F21" s="199">
        <f>E21/0.454/0.9478</f>
        <v>0.0014677601349204256</v>
      </c>
    </row>
    <row r="22" spans="2:6" ht="12.75">
      <c r="B22" s="127" t="s">
        <v>658</v>
      </c>
      <c r="C22" s="140">
        <f>10/1000/0.95</f>
        <v>0.010526315789473686</v>
      </c>
      <c r="D22" s="140">
        <f>C22/0.454/0.9478</f>
        <v>0.02446266891534043</v>
      </c>
      <c r="E22" s="140">
        <f>0.6/1000/0.95</f>
        <v>0.0006315789473684211</v>
      </c>
      <c r="F22" s="199">
        <f>E22/0.454/0.9478</f>
        <v>0.0014677601349204256</v>
      </c>
    </row>
    <row r="23" spans="2:6" ht="12.75">
      <c r="B23" s="127" t="s">
        <v>659</v>
      </c>
      <c r="C23" s="140">
        <f>10/1000/0.95</f>
        <v>0.010526315789473686</v>
      </c>
      <c r="D23" s="140">
        <f>C23/0.454/0.9478</f>
        <v>0.02446266891534043</v>
      </c>
      <c r="E23" s="140">
        <f>0.6/1000/0.95</f>
        <v>0.0006315789473684211</v>
      </c>
      <c r="F23" s="199">
        <f>E23/0.454/0.9478</f>
        <v>0.0014677601349204256</v>
      </c>
    </row>
    <row r="24" spans="2:6" ht="12.75">
      <c r="B24" s="133" t="s">
        <v>660</v>
      </c>
      <c r="C24" s="200">
        <f>10/1000/0.95</f>
        <v>0.010526315789473686</v>
      </c>
      <c r="D24" s="200">
        <f>C24/0.454/0.9478</f>
        <v>0.02446266891534043</v>
      </c>
      <c r="E24" s="200">
        <f>0.6/1000/0.95</f>
        <v>0.0006315789473684211</v>
      </c>
      <c r="F24" s="201">
        <f>E24/0.454/0.9478</f>
        <v>0.0014677601349204256</v>
      </c>
    </row>
    <row r="25" spans="2:6" ht="12.75">
      <c r="B25" s="125" t="s">
        <v>662</v>
      </c>
      <c r="C25" s="140"/>
      <c r="D25" s="140"/>
      <c r="E25" s="140"/>
      <c r="F25" s="199"/>
    </row>
    <row r="26" spans="2:6" ht="12.75">
      <c r="B26" s="127" t="s">
        <v>656</v>
      </c>
      <c r="C26" s="140">
        <f>30/1000/0.95</f>
        <v>0.031578947368421054</v>
      </c>
      <c r="D26" s="140">
        <f>C26/0.454/0.9478</f>
        <v>0.07338800674602129</v>
      </c>
      <c r="E26" s="140">
        <f>4/1000/0.95</f>
        <v>0.004210526315789474</v>
      </c>
      <c r="F26" s="199">
        <f>E26/0.454/0.9478</f>
        <v>0.00978506756613617</v>
      </c>
    </row>
    <row r="27" spans="2:6" ht="12.75">
      <c r="B27" s="127" t="s">
        <v>657</v>
      </c>
      <c r="C27" s="140">
        <f>30/1000/0.95</f>
        <v>0.031578947368421054</v>
      </c>
      <c r="D27" s="140">
        <f>C27/0.454/0.9478</f>
        <v>0.07338800674602129</v>
      </c>
      <c r="E27" s="140">
        <f>4/1000/0.95</f>
        <v>0.004210526315789474</v>
      </c>
      <c r="F27" s="199">
        <f>E27/0.454/0.9478</f>
        <v>0.00978506756613617</v>
      </c>
    </row>
    <row r="28" spans="2:6" ht="12.75">
      <c r="B28" s="127" t="s">
        <v>658</v>
      </c>
      <c r="C28" s="140">
        <f>300/1000/0.95</f>
        <v>0.3157894736842105</v>
      </c>
      <c r="D28" s="140">
        <f>C28/0.454/0.9478</f>
        <v>0.7338800674602127</v>
      </c>
      <c r="E28" s="140">
        <f>4/1000/0.95</f>
        <v>0.004210526315789474</v>
      </c>
      <c r="F28" s="199">
        <f>E28/0.454/0.9478</f>
        <v>0.00978506756613617</v>
      </c>
    </row>
    <row r="29" spans="2:6" ht="12.75">
      <c r="B29" s="127" t="s">
        <v>659</v>
      </c>
      <c r="C29" s="140">
        <f>300/1000/0.95</f>
        <v>0.3157894736842105</v>
      </c>
      <c r="D29" s="140">
        <f>C29/0.454/0.9478</f>
        <v>0.7338800674602127</v>
      </c>
      <c r="E29" s="140">
        <f>4/1000/0.95</f>
        <v>0.004210526315789474</v>
      </c>
      <c r="F29" s="199">
        <f>E29/0.454/0.9478</f>
        <v>0.00978506756613617</v>
      </c>
    </row>
    <row r="30" spans="2:6" ht="12.75">
      <c r="B30" s="133" t="s">
        <v>660</v>
      </c>
      <c r="C30" s="200">
        <f>300/1000/0.95</f>
        <v>0.3157894736842105</v>
      </c>
      <c r="D30" s="200">
        <f>C30/0.454/0.9478</f>
        <v>0.7338800674602127</v>
      </c>
      <c r="E30" s="200">
        <f>4/1000/0.95</f>
        <v>0.004210526315789474</v>
      </c>
      <c r="F30" s="201">
        <f>E30/0.454/0.9478</f>
        <v>0.00978506756613617</v>
      </c>
    </row>
    <row r="31" spans="2:6" ht="12.75">
      <c r="B31" s="125" t="s">
        <v>663</v>
      </c>
      <c r="C31" s="140"/>
      <c r="D31" s="140"/>
      <c r="E31" s="140"/>
      <c r="F31" s="199"/>
    </row>
    <row r="32" spans="2:6" ht="12.75">
      <c r="B32" s="127" t="s">
        <v>656</v>
      </c>
      <c r="C32" s="140">
        <f>200/1000/0.95</f>
        <v>0.2105263157894737</v>
      </c>
      <c r="D32" s="140">
        <f>C32/0.454/0.9478</f>
        <v>0.48925337830680854</v>
      </c>
      <c r="E32" s="140">
        <f>4/1000/0.95</f>
        <v>0.004210526315789474</v>
      </c>
      <c r="F32" s="199">
        <f>E32/0.454/0.9478</f>
        <v>0.00978506756613617</v>
      </c>
    </row>
    <row r="33" spans="2:6" ht="12.75">
      <c r="B33" s="127" t="s">
        <v>657</v>
      </c>
      <c r="C33" s="140">
        <f>200/1000/0.95</f>
        <v>0.2105263157894737</v>
      </c>
      <c r="D33" s="140">
        <f>C33/0.454/0.9478</f>
        <v>0.48925337830680854</v>
      </c>
      <c r="E33" s="140">
        <f>4/1000/0.95</f>
        <v>0.004210526315789474</v>
      </c>
      <c r="F33" s="199">
        <f>E33/0.454/0.9478</f>
        <v>0.00978506756613617</v>
      </c>
    </row>
    <row r="34" spans="2:6" ht="12.75">
      <c r="B34" s="127" t="s">
        <v>658</v>
      </c>
      <c r="C34" s="140">
        <f>200/1000/0.95</f>
        <v>0.2105263157894737</v>
      </c>
      <c r="D34" s="140">
        <f>C34/0.454/0.9478</f>
        <v>0.48925337830680854</v>
      </c>
      <c r="E34" s="140">
        <f>1/1000/0.95</f>
        <v>0.0010526315789473684</v>
      </c>
      <c r="F34" s="199">
        <f>E34/0.454/0.9478</f>
        <v>0.0024462668915340427</v>
      </c>
    </row>
    <row r="35" spans="2:6" ht="12.75">
      <c r="B35" s="127" t="s">
        <v>659</v>
      </c>
      <c r="C35" s="140">
        <f>200/1000/0.95</f>
        <v>0.2105263157894737</v>
      </c>
      <c r="D35" s="140">
        <f>C35/0.454/0.9478</f>
        <v>0.48925337830680854</v>
      </c>
      <c r="E35" s="140">
        <f>1/1000/0.95</f>
        <v>0.0010526315789473684</v>
      </c>
      <c r="F35" s="199">
        <f>E35/0.454/0.9478</f>
        <v>0.0024462668915340427</v>
      </c>
    </row>
    <row r="36" spans="2:6" ht="12.75">
      <c r="B36" s="133" t="s">
        <v>660</v>
      </c>
      <c r="C36" s="200">
        <f>200/1000/0.95</f>
        <v>0.2105263157894737</v>
      </c>
      <c r="D36" s="200">
        <f>C36/0.454/0.9478</f>
        <v>0.48925337830680854</v>
      </c>
      <c r="E36" s="200">
        <f>1/1000*0.95</f>
        <v>0.00095</v>
      </c>
      <c r="F36" s="201">
        <f>E36/0.454/0.9478</f>
        <v>0.0022077558696094735</v>
      </c>
    </row>
    <row r="37" spans="2:6" ht="12.75">
      <c r="B37" s="125" t="s">
        <v>664</v>
      </c>
      <c r="C37" s="140"/>
      <c r="D37" s="140"/>
      <c r="E37" s="140"/>
      <c r="F37" s="199"/>
    </row>
    <row r="38" spans="2:6" ht="12.75">
      <c r="B38" s="127" t="s">
        <v>656</v>
      </c>
      <c r="C38" s="140">
        <f>30/1000/0.95</f>
        <v>0.031578947368421054</v>
      </c>
      <c r="D38" s="140">
        <f>C38/0.454/0.9478</f>
        <v>0.07338800674602129</v>
      </c>
      <c r="E38" s="140">
        <f>4/1000/0.95</f>
        <v>0.004210526315789474</v>
      </c>
      <c r="F38" s="199">
        <f>E38/0.454/0.9478</f>
        <v>0.00978506756613617</v>
      </c>
    </row>
    <row r="39" spans="2:6" ht="12.75">
      <c r="B39" s="127" t="s">
        <v>657</v>
      </c>
      <c r="C39" s="140">
        <f>30/1000/0.95</f>
        <v>0.031578947368421054</v>
      </c>
      <c r="D39" s="140">
        <f>C39/0.454/0.9478</f>
        <v>0.07338800674602129</v>
      </c>
      <c r="E39" s="140">
        <f>4/1000/0.95</f>
        <v>0.004210526315789474</v>
      </c>
      <c r="F39" s="199">
        <f>E39/0.454/0.9478</f>
        <v>0.00978506756613617</v>
      </c>
    </row>
    <row r="40" spans="2:6" ht="12.75">
      <c r="B40" s="127" t="s">
        <v>658</v>
      </c>
      <c r="C40" s="140">
        <f>300/1000/0.95</f>
        <v>0.3157894736842105</v>
      </c>
      <c r="D40" s="140">
        <f>C40/0.454/0.9478</f>
        <v>0.7338800674602127</v>
      </c>
      <c r="E40" s="140">
        <f>4/1000/0.95</f>
        <v>0.004210526315789474</v>
      </c>
      <c r="F40" s="199">
        <f>E40/0.454/0.9478</f>
        <v>0.00978506756613617</v>
      </c>
    </row>
    <row r="41" spans="2:6" ht="12.75">
      <c r="B41" s="127" t="s">
        <v>659</v>
      </c>
      <c r="C41" s="140">
        <f>300/1000/0.95</f>
        <v>0.3157894736842105</v>
      </c>
      <c r="D41" s="140">
        <f>C41/0.454/0.9478</f>
        <v>0.7338800674602127</v>
      </c>
      <c r="E41" s="140">
        <f>4/1000/0.95</f>
        <v>0.004210526315789474</v>
      </c>
      <c r="F41" s="199">
        <f>E41/0.454/0.9478</f>
        <v>0.00978506756613617</v>
      </c>
    </row>
    <row r="42" spans="2:6" ht="13.5" thickBot="1">
      <c r="B42" s="166" t="s">
        <v>660</v>
      </c>
      <c r="C42" s="202">
        <f>300/1000/0.95</f>
        <v>0.3157894736842105</v>
      </c>
      <c r="D42" s="202">
        <f>C42/0.454/0.9478</f>
        <v>0.7338800674602127</v>
      </c>
      <c r="E42" s="202">
        <f>4/1000/0.95</f>
        <v>0.004210526315789474</v>
      </c>
      <c r="F42" s="203">
        <f>E42/0.454/0.9478</f>
        <v>0.00978506756613617</v>
      </c>
    </row>
    <row r="43" ht="12.75">
      <c r="B43" s="204" t="s">
        <v>665</v>
      </c>
    </row>
    <row r="44" ht="12.75">
      <c r="B44" s="204" t="s">
        <v>666</v>
      </c>
    </row>
    <row r="45" ht="12.75">
      <c r="B45" s="204"/>
    </row>
    <row r="46" ht="12.75">
      <c r="B46" s="118" t="s">
        <v>667</v>
      </c>
    </row>
    <row r="47" ht="12.75">
      <c r="B47" s="20" t="s">
        <v>671</v>
      </c>
    </row>
    <row r="48" ht="12.75">
      <c r="B48" s="20" t="s">
        <v>668</v>
      </c>
    </row>
    <row r="50" ht="14.25">
      <c r="B50" s="20" t="s">
        <v>672</v>
      </c>
    </row>
    <row r="51" ht="14.25">
      <c r="B51" s="20" t="s">
        <v>673</v>
      </c>
    </row>
    <row r="52" ht="14.25">
      <c r="B52" s="20" t="s">
        <v>674</v>
      </c>
    </row>
    <row r="53" ht="12.75">
      <c r="B53" s="205" t="s">
        <v>675</v>
      </c>
    </row>
    <row r="54" ht="12.75">
      <c r="B54" s="205" t="s">
        <v>676</v>
      </c>
    </row>
    <row r="55" ht="12.75">
      <c r="B55" s="205" t="s">
        <v>677</v>
      </c>
    </row>
    <row r="56" ht="12.75">
      <c r="B56" s="205" t="s">
        <v>678</v>
      </c>
    </row>
    <row r="58" ht="12.75">
      <c r="B58" s="482" t="s">
        <v>19</v>
      </c>
    </row>
  </sheetData>
  <sheetProtection/>
  <printOptions/>
  <pageMargins left="0.75" right="0.75" top="1" bottom="1" header="0.5" footer="0.5"/>
  <pageSetup orientation="portrait"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ICF Consulting,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Pederson</dc:creator>
  <cp:keywords/>
  <dc:description/>
  <cp:lastModifiedBy> </cp:lastModifiedBy>
  <cp:lastPrinted>2008-08-20T18:38:39Z</cp:lastPrinted>
  <dcterms:created xsi:type="dcterms:W3CDTF">2007-06-29T21:00:40Z</dcterms:created>
  <dcterms:modified xsi:type="dcterms:W3CDTF">2008-10-17T13:35:11Z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